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SST Sulfamethoxazole" sheetId="1" r:id="rId1"/>
    <sheet name="SST Trimethoprim" sheetId="5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5" l="1"/>
  <c r="B21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42" i="1"/>
  <c r="B21" i="1"/>
  <c r="C124" i="4" l="1"/>
  <c r="B116" i="4"/>
  <c r="D100" i="4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C49" i="2"/>
  <c r="B49" i="2"/>
  <c r="C46" i="2"/>
  <c r="B57" i="4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F51" i="1"/>
  <c r="D51" i="1"/>
  <c r="C51" i="1"/>
  <c r="B51" i="1"/>
  <c r="B52" i="1" s="1"/>
  <c r="B32" i="1"/>
  <c r="F30" i="1"/>
  <c r="C30" i="1"/>
  <c r="B30" i="1"/>
  <c r="B31" i="1" s="1"/>
  <c r="I39" i="4" l="1"/>
  <c r="F45" i="4"/>
  <c r="F46" i="4" s="1"/>
  <c r="I39" i="3"/>
  <c r="D44" i="3"/>
  <c r="D45" i="3" s="1"/>
  <c r="D49" i="3"/>
  <c r="F45" i="3"/>
  <c r="G41" i="3" s="1"/>
  <c r="D101" i="4"/>
  <c r="D101" i="3"/>
  <c r="D102" i="3" s="1"/>
  <c r="F98" i="3"/>
  <c r="I92" i="3"/>
  <c r="I92" i="4"/>
  <c r="F98" i="4"/>
  <c r="G93" i="4" s="1"/>
  <c r="D97" i="4"/>
  <c r="D98" i="4" s="1"/>
  <c r="B69" i="3"/>
  <c r="G94" i="3"/>
  <c r="G94" i="4"/>
  <c r="G41" i="4"/>
  <c r="B69" i="4"/>
  <c r="D24" i="2"/>
  <c r="D28" i="2"/>
  <c r="D32" i="2"/>
  <c r="D36" i="2"/>
  <c r="D40" i="2"/>
  <c r="D49" i="2"/>
  <c r="B57" i="3"/>
  <c r="G38" i="4"/>
  <c r="D44" i="4"/>
  <c r="D45" i="4" s="1"/>
  <c r="D49" i="4"/>
  <c r="D102" i="4"/>
  <c r="C50" i="2"/>
  <c r="D97" i="3"/>
  <c r="D98" i="3" s="1"/>
  <c r="D99" i="3" s="1"/>
  <c r="G40" i="4"/>
  <c r="G92" i="4"/>
  <c r="G39" i="4"/>
  <c r="G42" i="4" l="1"/>
  <c r="E41" i="3"/>
  <c r="E39" i="3"/>
  <c r="G38" i="3"/>
  <c r="G40" i="3"/>
  <c r="F46" i="3"/>
  <c r="G39" i="3"/>
  <c r="E40" i="3"/>
  <c r="D46" i="3"/>
  <c r="E38" i="3"/>
  <c r="G93" i="3"/>
  <c r="G95" i="3" s="1"/>
  <c r="G91" i="3"/>
  <c r="G92" i="3"/>
  <c r="F99" i="3"/>
  <c r="E91" i="3"/>
  <c r="E93" i="3"/>
  <c r="G91" i="4"/>
  <c r="G95" i="4" s="1"/>
  <c r="F99" i="4"/>
  <c r="E94" i="4"/>
  <c r="E92" i="4"/>
  <c r="E91" i="4"/>
  <c r="D46" i="4"/>
  <c r="E38" i="4"/>
  <c r="E39" i="4"/>
  <c r="E92" i="3"/>
  <c r="E41" i="4"/>
  <c r="E40" i="4"/>
  <c r="E93" i="4"/>
  <c r="D99" i="4"/>
  <c r="E94" i="3"/>
  <c r="E42" i="3" l="1"/>
  <c r="D52" i="3"/>
  <c r="G42" i="3"/>
  <c r="D50" i="3"/>
  <c r="G67" i="3" s="1"/>
  <c r="H67" i="3" s="1"/>
  <c r="D103" i="3"/>
  <c r="E112" i="3" s="1"/>
  <c r="F112" i="3" s="1"/>
  <c r="E95" i="3"/>
  <c r="D105" i="3"/>
  <c r="D103" i="4"/>
  <c r="E113" i="4" s="1"/>
  <c r="F113" i="4" s="1"/>
  <c r="E95" i="4"/>
  <c r="D105" i="4"/>
  <c r="D50" i="4"/>
  <c r="E42" i="4"/>
  <c r="D52" i="4"/>
  <c r="D51" i="3" l="1"/>
  <c r="G61" i="3"/>
  <c r="H61" i="3" s="1"/>
  <c r="G63" i="3"/>
  <c r="H63" i="3" s="1"/>
  <c r="G66" i="3"/>
  <c r="H66" i="3" s="1"/>
  <c r="G68" i="3"/>
  <c r="H68" i="3" s="1"/>
  <c r="G62" i="3"/>
  <c r="H62" i="3" s="1"/>
  <c r="G64" i="3"/>
  <c r="H64" i="3" s="1"/>
  <c r="G65" i="3"/>
  <c r="H65" i="3" s="1"/>
  <c r="G60" i="3"/>
  <c r="H60" i="3" s="1"/>
  <c r="G69" i="3"/>
  <c r="H69" i="3" s="1"/>
  <c r="G70" i="3"/>
  <c r="H70" i="3" s="1"/>
  <c r="G71" i="3"/>
  <c r="H71" i="3" s="1"/>
  <c r="D104" i="3"/>
  <c r="E113" i="3"/>
  <c r="F113" i="3" s="1"/>
  <c r="E108" i="3"/>
  <c r="F108" i="3" s="1"/>
  <c r="E109" i="3"/>
  <c r="F109" i="3" s="1"/>
  <c r="E110" i="3"/>
  <c r="F110" i="3" s="1"/>
  <c r="E111" i="3"/>
  <c r="F111" i="3" s="1"/>
  <c r="E108" i="4"/>
  <c r="F108" i="4" s="1"/>
  <c r="D104" i="4"/>
  <c r="E109" i="4"/>
  <c r="F109" i="4" s="1"/>
  <c r="E110" i="4"/>
  <c r="F110" i="4" s="1"/>
  <c r="E111" i="4"/>
  <c r="F111" i="4" s="1"/>
  <c r="E112" i="4"/>
  <c r="F112" i="4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9" i="4"/>
  <c r="H69" i="4" s="1"/>
  <c r="G66" i="4"/>
  <c r="H66" i="4" s="1"/>
  <c r="G64" i="4"/>
  <c r="H64" i="4" s="1"/>
  <c r="G62" i="4"/>
  <c r="H62" i="4" s="1"/>
  <c r="G68" i="4"/>
  <c r="H68" i="4" s="1"/>
  <c r="G71" i="4"/>
  <c r="H71" i="4" s="1"/>
  <c r="G60" i="4"/>
  <c r="G72" i="3" l="1"/>
  <c r="G73" i="3" s="1"/>
  <c r="G74" i="3"/>
  <c r="E120" i="3"/>
  <c r="E119" i="3"/>
  <c r="E115" i="3"/>
  <c r="E116" i="3" s="1"/>
  <c r="E117" i="3"/>
  <c r="E115" i="4"/>
  <c r="E116" i="4" s="1"/>
  <c r="E120" i="4"/>
  <c r="E117" i="4"/>
  <c r="E119" i="4"/>
  <c r="H74" i="3"/>
  <c r="H72" i="3"/>
  <c r="F119" i="3"/>
  <c r="F115" i="3"/>
  <c r="F125" i="3"/>
  <c r="F120" i="3"/>
  <c r="F117" i="3"/>
  <c r="D125" i="3"/>
  <c r="F125" i="4"/>
  <c r="F120" i="4"/>
  <c r="F117" i="4"/>
  <c r="D125" i="4"/>
  <c r="F115" i="4"/>
  <c r="F119" i="4"/>
  <c r="G74" i="4"/>
  <c r="G72" i="4"/>
  <c r="G73" i="4" s="1"/>
  <c r="H60" i="4"/>
  <c r="H74" i="4" l="1"/>
  <c r="H72" i="4"/>
  <c r="G124" i="4"/>
  <c r="F116" i="4"/>
  <c r="G124" i="3"/>
  <c r="F116" i="3"/>
  <c r="G76" i="3"/>
  <c r="H73" i="3"/>
  <c r="G76" i="4" l="1"/>
  <c r="H73" i="4"/>
</calcChain>
</file>

<file path=xl/sharedStrings.xml><?xml version="1.0" encoding="utf-8"?>
<sst xmlns="http://schemas.openxmlformats.org/spreadsheetml/2006/main" count="460" uniqueCount="140">
  <si>
    <t>HPLC System Suitability Report</t>
  </si>
  <si>
    <t>Analysis Data</t>
  </si>
  <si>
    <t>Assay</t>
  </si>
  <si>
    <t>Sample(s)</t>
  </si>
  <si>
    <t>Reference Substance:</t>
  </si>
  <si>
    <t>SULFRAN - DS  TABLETS</t>
  </si>
  <si>
    <t>% age Purity:</t>
  </si>
  <si>
    <t>NDQB201610157</t>
  </si>
  <si>
    <t>Weight (mg):</t>
  </si>
  <si>
    <t>Tremethoprim, Sulfamethoxazole</t>
  </si>
  <si>
    <t>Standard Conc (mg/mL):</t>
  </si>
  <si>
    <t>Each tablet contains: Sulphamethoxazole B.P. 800 mg and Trimethoprim B.P. 160 mg.</t>
  </si>
  <si>
    <t>2016-10-12 07:27:34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</si>
  <si>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</si>
  <si>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</si>
  <si>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</si>
  <si>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</si>
  <si>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</si>
  <si>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</si>
  <si>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</si>
  <si>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</si>
  <si>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</si>
  <si>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</si>
  <si>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</si>
  <si>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</si>
  <si>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</si>
  <si>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</si>
  <si>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</si>
  <si>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</si>
  <si>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</si>
  <si>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</si>
  <si>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</si>
  <si>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</si>
  <si>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</si>
  <si>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</si>
  <si>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</si>
  <si>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</si>
  <si>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</si>
  <si>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</si>
  <si>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</si>
  <si>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</si>
  <si>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</si>
  <si>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</si>
  <si>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</si>
  <si>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</si>
  <si>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</si>
  <si>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</si>
  <si>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</si>
  <si>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</si>
  <si>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</si>
  <si>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</si>
  <si>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</si>
  <si>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</si>
  <si>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</si>
  <si>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</si>
  <si>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</si>
  <si>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</si>
  <si>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</si>
  <si>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</si>
  <si>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</si>
  <si>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</si>
  <si>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</si>
  <si>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</si>
  <si>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</si>
  <si>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</si>
  <si>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</si>
  <si>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</si>
  <si>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</si>
  <si>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</si>
  <si>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</si>
  <si>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</si>
  <si>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</si>
  <si>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</si>
  <si>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</si>
  <si>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</si>
  <si>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</si>
  <si>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</si>
  <si>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</si>
  <si>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</si>
  <si>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</si>
  <si>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</si>
  <si>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</si>
  <si>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</si>
  <si>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</si>
  <si>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</si>
  <si>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</si>
  <si>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</si>
  <si>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</si>
  <si>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</si>
  <si>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</si>
  <si>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</si>
  <si>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</si>
  <si>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</si>
  <si>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</si>
  <si>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</si>
  <si>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</si>
  <si>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</si>
  <si>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</si>
  <si>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</si>
  <si>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</si>
  <si>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</si>
  <si>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</si>
  <si>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</si>
  <si>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</si>
  <si>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</si>
  <si>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</si>
  <si>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</si>
  <si>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</si>
  <si>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</si>
  <si>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</si>
  <si>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</si>
  <si>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</si>
  <si>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</si>
  <si>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</si>
  <si>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</si>
  <si>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</si>
  <si>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</si>
  <si>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</si>
  <si>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</si>
  <si>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</si>
  <si>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</si>
  <si>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</si>
  <si>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</si>
  <si>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</si>
  <si>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</si>
  <si>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</si>
  <si>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</si>
  <si>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</si>
  <si>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</si>
  <si>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</si>
  <si>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</si>
  <si>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</si>
  <si>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T7-4</t>
  </si>
  <si>
    <t>Sufamethoxazole Raw Material</t>
  </si>
  <si>
    <t>Sulfamethoxazole</t>
  </si>
  <si>
    <t>Sulfamethoxazole Raw Material</t>
  </si>
  <si>
    <t>NDQE201607046</t>
  </si>
  <si>
    <t>RUTTO KENNEDY</t>
  </si>
  <si>
    <t>Resolution(USP)</t>
  </si>
  <si>
    <t>Resolution between Sulfamethoxazole and Trimethoprim is NLT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</si>
</sst>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3" fillId="3" borderId="52" xfId="0" applyNumberFormat="1" applyFont="1" applyFill="1" applyBorder="1" applyAlignment="1" applyProtection="1">
      <alignment horizontal="center"/>
      <protection locked="0"/>
    </xf>
    <xf numFmtId="14" fontId="2" fillId="2" borderId="7" xfId="0" applyNumberFormat="1" applyFont="1" applyFill="1" applyBorder="1"/>
    <xf numFmtId="10" fontId="2" fillId="2" borderId="0" xfId="0" applyNumberFormat="1" applyFont="1" applyFill="1" applyBorder="1"/>
    <xf numFmtId="176" fontId="7" fillId="3" borderId="3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38" workbookViewId="0">
      <selection activeCell="B57" sqref="B5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5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5" t="s">
        <v>0</v>
      </c>
      <c r="B15" s="475"/>
      <c r="C15" s="475"/>
      <c r="D15" s="475"/>
      <c r="E15" s="475"/>
      <c r="F15" s="475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12" t="s">
        <v>134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99.28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2">
        <v>15.72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15.72/100</f>
        <v>0.15720000000000001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138</v>
      </c>
      <c r="F23" s="16" t="s">
        <v>17</v>
      </c>
    </row>
    <row r="24" spans="1:7" ht="16.5" customHeight="1" x14ac:dyDescent="0.3">
      <c r="A24" s="17">
        <v>1</v>
      </c>
      <c r="B24" s="18">
        <v>49982470</v>
      </c>
      <c r="C24" s="18">
        <v>8692.7999999999993</v>
      </c>
      <c r="D24" s="19">
        <v>1</v>
      </c>
      <c r="E24" s="19">
        <v>11.8</v>
      </c>
      <c r="F24" s="20">
        <v>6.5</v>
      </c>
    </row>
    <row r="25" spans="1:7" ht="16.5" customHeight="1" x14ac:dyDescent="0.3">
      <c r="A25" s="17">
        <v>2</v>
      </c>
      <c r="B25" s="18">
        <v>50074022</v>
      </c>
      <c r="C25" s="18">
        <v>8661.6</v>
      </c>
      <c r="D25" s="19">
        <v>1</v>
      </c>
      <c r="E25" s="19">
        <v>11.9</v>
      </c>
      <c r="F25" s="19">
        <v>6.5</v>
      </c>
    </row>
    <row r="26" spans="1:7" ht="16.5" customHeight="1" x14ac:dyDescent="0.3">
      <c r="A26" s="17">
        <v>3</v>
      </c>
      <c r="B26" s="18">
        <v>49823713</v>
      </c>
      <c r="C26" s="18">
        <v>8691.2000000000007</v>
      </c>
      <c r="D26" s="19">
        <v>1</v>
      </c>
      <c r="E26" s="19">
        <v>11.9</v>
      </c>
      <c r="F26" s="19">
        <v>6.5</v>
      </c>
    </row>
    <row r="27" spans="1:7" ht="16.5" customHeight="1" x14ac:dyDescent="0.3">
      <c r="A27" s="17">
        <v>4</v>
      </c>
      <c r="B27" s="18">
        <v>50027347</v>
      </c>
      <c r="C27" s="18">
        <v>8709.5</v>
      </c>
      <c r="D27" s="19">
        <v>1</v>
      </c>
      <c r="E27" s="19">
        <v>11.9</v>
      </c>
      <c r="F27" s="19">
        <v>6.5</v>
      </c>
    </row>
    <row r="28" spans="1:7" ht="16.5" customHeight="1" x14ac:dyDescent="0.3">
      <c r="A28" s="17">
        <v>5</v>
      </c>
      <c r="B28" s="18">
        <v>50005695</v>
      </c>
      <c r="C28" s="18">
        <v>8694.9</v>
      </c>
      <c r="D28" s="19">
        <v>1</v>
      </c>
      <c r="E28" s="19">
        <v>11.9</v>
      </c>
      <c r="F28" s="19">
        <v>6.5</v>
      </c>
    </row>
    <row r="29" spans="1:7" ht="16.5" customHeight="1" x14ac:dyDescent="0.3">
      <c r="A29" s="17">
        <v>6</v>
      </c>
      <c r="B29" s="21">
        <v>50024148</v>
      </c>
      <c r="C29" s="21">
        <v>8691.6</v>
      </c>
      <c r="D29" s="22">
        <v>1</v>
      </c>
      <c r="E29" s="22">
        <v>11.9</v>
      </c>
      <c r="F29" s="22">
        <v>6.5</v>
      </c>
    </row>
    <row r="30" spans="1:7" ht="16.5" customHeight="1" x14ac:dyDescent="0.3">
      <c r="A30" s="23" t="s">
        <v>18</v>
      </c>
      <c r="B30" s="24">
        <f>AVERAGE(B24:B29)</f>
        <v>49989565.833333336</v>
      </c>
      <c r="C30" s="25">
        <f>AVERAGE(C24:C29)</f>
        <v>8690.2666666666682</v>
      </c>
      <c r="D30" s="26">
        <v>1</v>
      </c>
      <c r="E30" s="26">
        <v>11.9</v>
      </c>
      <c r="F30" s="26">
        <f>AVERAGE(F24:F29)</f>
        <v>6.5</v>
      </c>
    </row>
    <row r="31" spans="1:7" ht="16.5" customHeight="1" x14ac:dyDescent="0.3">
      <c r="A31" s="27" t="s">
        <v>19</v>
      </c>
      <c r="B31" s="28">
        <f>(STDEV(B24:B29)/B30)</f>
        <v>1.7341173448102039E-3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 t="s">
        <v>139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 t="s">
        <v>134</v>
      </c>
      <c r="C39" s="10"/>
      <c r="D39" s="10"/>
      <c r="E39" s="71"/>
      <c r="F39" s="10"/>
    </row>
    <row r="40" spans="1:7" ht="16.5" customHeight="1" x14ac:dyDescent="0.3">
      <c r="A40" s="11" t="s">
        <v>6</v>
      </c>
      <c r="B40" s="12">
        <v>99.28</v>
      </c>
      <c r="C40" s="10"/>
      <c r="D40" s="10"/>
      <c r="E40" s="71"/>
      <c r="F40" s="10"/>
    </row>
    <row r="41" spans="1:7" ht="16.5" customHeight="1" x14ac:dyDescent="0.3">
      <c r="A41" s="7" t="s">
        <v>8</v>
      </c>
      <c r="B41" s="12">
        <v>16</v>
      </c>
      <c r="C41" s="10"/>
      <c r="D41" s="10"/>
      <c r="E41" s="71"/>
      <c r="F41" s="10"/>
    </row>
    <row r="42" spans="1:7" ht="16.5" customHeight="1" x14ac:dyDescent="0.3">
      <c r="A42" s="7" t="s">
        <v>10</v>
      </c>
      <c r="B42" s="13">
        <f>16/100</f>
        <v>0.16</v>
      </c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138</v>
      </c>
      <c r="F44" s="16" t="s">
        <v>17</v>
      </c>
    </row>
    <row r="45" spans="1:7" ht="16.5" customHeight="1" x14ac:dyDescent="0.3">
      <c r="A45" s="17">
        <v>1</v>
      </c>
      <c r="B45" s="18">
        <v>52944919</v>
      </c>
      <c r="C45" s="18">
        <v>10217</v>
      </c>
      <c r="D45" s="19">
        <v>0.9</v>
      </c>
      <c r="E45" s="19">
        <v>14.8</v>
      </c>
      <c r="F45" s="20">
        <v>6</v>
      </c>
    </row>
    <row r="46" spans="1:7" ht="16.5" customHeight="1" x14ac:dyDescent="0.3">
      <c r="A46" s="17">
        <v>2</v>
      </c>
      <c r="B46" s="18">
        <v>53136520</v>
      </c>
      <c r="C46" s="18">
        <v>10192.299999999999</v>
      </c>
      <c r="D46" s="19">
        <v>0.9</v>
      </c>
      <c r="E46" s="19">
        <v>14.8</v>
      </c>
      <c r="F46" s="19">
        <v>6</v>
      </c>
    </row>
    <row r="47" spans="1:7" ht="16.5" customHeight="1" x14ac:dyDescent="0.3">
      <c r="A47" s="17">
        <v>3</v>
      </c>
      <c r="B47" s="18">
        <v>53090949</v>
      </c>
      <c r="C47" s="18">
        <v>10241.9</v>
      </c>
      <c r="D47" s="19">
        <v>0.9</v>
      </c>
      <c r="E47" s="19">
        <v>14.8</v>
      </c>
      <c r="F47" s="19">
        <v>6</v>
      </c>
    </row>
    <row r="48" spans="1:7" ht="16.5" customHeight="1" x14ac:dyDescent="0.3">
      <c r="A48" s="17">
        <v>4</v>
      </c>
      <c r="B48" s="18">
        <v>53168860</v>
      </c>
      <c r="C48" s="18">
        <v>10243.1</v>
      </c>
      <c r="D48" s="19">
        <v>0.9</v>
      </c>
      <c r="E48" s="19">
        <v>14.8</v>
      </c>
      <c r="F48" s="19">
        <v>6</v>
      </c>
    </row>
    <row r="49" spans="1:8" ht="16.5" customHeight="1" x14ac:dyDescent="0.3">
      <c r="A49" s="17">
        <v>5</v>
      </c>
      <c r="B49" s="18">
        <v>53187978</v>
      </c>
      <c r="C49" s="18">
        <v>10221.9</v>
      </c>
      <c r="D49" s="19">
        <v>0.9</v>
      </c>
      <c r="E49" s="19">
        <v>14.8</v>
      </c>
      <c r="F49" s="19">
        <v>6</v>
      </c>
    </row>
    <row r="50" spans="1:8" ht="16.5" customHeight="1" x14ac:dyDescent="0.3">
      <c r="A50" s="17">
        <v>6</v>
      </c>
      <c r="B50" s="21">
        <v>52860956</v>
      </c>
      <c r="C50" s="21">
        <v>10219.4</v>
      </c>
      <c r="D50" s="22">
        <v>0.9</v>
      </c>
      <c r="E50" s="22">
        <v>14.8</v>
      </c>
      <c r="F50" s="22">
        <v>6</v>
      </c>
    </row>
    <row r="51" spans="1:8" ht="16.5" customHeight="1" x14ac:dyDescent="0.3">
      <c r="A51" s="23" t="s">
        <v>18</v>
      </c>
      <c r="B51" s="24">
        <f>AVERAGE(B45:B50)</f>
        <v>53065030.333333336</v>
      </c>
      <c r="C51" s="25">
        <f>AVERAGE(C45:C50)</f>
        <v>10222.6</v>
      </c>
      <c r="D51" s="26">
        <f>AVERAGE(D45:D50)</f>
        <v>0.9</v>
      </c>
      <c r="E51" s="26">
        <v>14.8</v>
      </c>
      <c r="F51" s="26">
        <f>AVERAGE(F45:F50)</f>
        <v>6</v>
      </c>
    </row>
    <row r="52" spans="1:8" ht="16.5" customHeight="1" x14ac:dyDescent="0.3">
      <c r="A52" s="27" t="s">
        <v>19</v>
      </c>
      <c r="B52" s="28">
        <f>(STDEV(B45:B50)/B51)</f>
        <v>2.4965251422415569E-3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71" t="s">
        <v>139</v>
      </c>
      <c r="D58" s="42"/>
      <c r="E58" s="473"/>
      <c r="G58" s="43"/>
      <c r="H58" s="43"/>
    </row>
    <row r="59" spans="1:8" ht="15" customHeight="1" x14ac:dyDescent="0.3">
      <c r="B59" s="476" t="s">
        <v>26</v>
      </c>
      <c r="C59" s="476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7" t="s">
        <v>137</v>
      </c>
      <c r="C60" s="47"/>
      <c r="F60" s="472">
        <v>42381</v>
      </c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8" workbookViewId="0">
      <selection activeCell="E51" sqref="E51"/>
    </sheetView>
  </sheetViews>
  <sheetFormatPr defaultRowHeight="13.5" x14ac:dyDescent="0.25"/>
  <cols>
    <col min="1" max="1" width="27.5703125" style="405" customWidth="1"/>
    <col min="2" max="2" width="20.42578125" style="405" customWidth="1"/>
    <col min="3" max="3" width="31.85546875" style="405" customWidth="1"/>
    <col min="4" max="4" width="25.85546875" style="405" customWidth="1"/>
    <col min="5" max="5" width="25.7109375" style="405" customWidth="1"/>
    <col min="6" max="6" width="23.140625" style="405" customWidth="1"/>
    <col min="7" max="7" width="28.42578125" style="405" customWidth="1"/>
    <col min="8" max="8" width="21.5703125" style="405" customWidth="1"/>
    <col min="9" max="9" width="9.140625" style="405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12" t="s">
        <v>131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99.3</v>
      </c>
      <c r="C19" s="71"/>
      <c r="D19" s="71"/>
      <c r="E19" s="71"/>
    </row>
    <row r="20" spans="1:5" ht="16.5" customHeight="1" x14ac:dyDescent="0.3">
      <c r="A20" s="8" t="s">
        <v>8</v>
      </c>
      <c r="B20" s="12">
        <v>18.61</v>
      </c>
      <c r="C20" s="71"/>
      <c r="D20" s="71"/>
      <c r="E20" s="71"/>
    </row>
    <row r="21" spans="1:5" ht="16.5" customHeight="1" x14ac:dyDescent="0.3">
      <c r="A21" s="8" t="s">
        <v>10</v>
      </c>
      <c r="B21" s="13">
        <f>18.61/25*4/100</f>
        <v>2.9775999999999997E-2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3519753</v>
      </c>
      <c r="C24" s="18">
        <v>8692.7999999999993</v>
      </c>
      <c r="D24" s="19">
        <v>1.5</v>
      </c>
      <c r="E24" s="20">
        <v>3.6</v>
      </c>
    </row>
    <row r="25" spans="1:5" ht="16.5" customHeight="1" x14ac:dyDescent="0.3">
      <c r="A25" s="17">
        <v>2</v>
      </c>
      <c r="B25" s="18">
        <v>3525724</v>
      </c>
      <c r="C25" s="18">
        <v>8661.6</v>
      </c>
      <c r="D25" s="19">
        <v>1.5</v>
      </c>
      <c r="E25" s="19">
        <v>3.6</v>
      </c>
    </row>
    <row r="26" spans="1:5" ht="16.5" customHeight="1" x14ac:dyDescent="0.3">
      <c r="A26" s="17">
        <v>3</v>
      </c>
      <c r="B26" s="18">
        <v>3505315</v>
      </c>
      <c r="C26" s="18">
        <v>8691.2000000000007</v>
      </c>
      <c r="D26" s="19">
        <v>1.5</v>
      </c>
      <c r="E26" s="19">
        <v>3.6</v>
      </c>
    </row>
    <row r="27" spans="1:5" ht="16.5" customHeight="1" x14ac:dyDescent="0.3">
      <c r="A27" s="17">
        <v>4</v>
      </c>
      <c r="B27" s="18">
        <v>3517605</v>
      </c>
      <c r="C27" s="18">
        <v>8709.5</v>
      </c>
      <c r="D27" s="19">
        <v>1.4</v>
      </c>
      <c r="E27" s="19">
        <v>3.6</v>
      </c>
    </row>
    <row r="28" spans="1:5" ht="16.5" customHeight="1" x14ac:dyDescent="0.3">
      <c r="A28" s="17">
        <v>5</v>
      </c>
      <c r="B28" s="18">
        <v>3516256</v>
      </c>
      <c r="C28" s="18">
        <v>8694.9</v>
      </c>
      <c r="D28" s="19">
        <v>1.4</v>
      </c>
      <c r="E28" s="19">
        <v>3.6</v>
      </c>
    </row>
    <row r="29" spans="1:5" ht="16.5" customHeight="1" x14ac:dyDescent="0.3">
      <c r="A29" s="17">
        <v>6</v>
      </c>
      <c r="B29" s="21">
        <v>3518021</v>
      </c>
      <c r="C29" s="21">
        <v>8691.6</v>
      </c>
      <c r="D29" s="22">
        <v>1.5</v>
      </c>
      <c r="E29" s="22">
        <v>3.6</v>
      </c>
    </row>
    <row r="30" spans="1:5" ht="16.5" customHeight="1" x14ac:dyDescent="0.3">
      <c r="A30" s="23" t="s">
        <v>18</v>
      </c>
      <c r="B30" s="24">
        <f>AVERAGE(B24:B29)</f>
        <v>3517112.3333333335</v>
      </c>
      <c r="C30" s="25">
        <f>AVERAGE(C24:C29)</f>
        <v>8690.2666666666682</v>
      </c>
      <c r="D30" s="26">
        <f>AVERAGE(D24:D29)</f>
        <v>1.4666666666666668</v>
      </c>
      <c r="E30" s="26">
        <f>AVERAGE(E24:E29)</f>
        <v>3.6</v>
      </c>
    </row>
    <row r="31" spans="1:5" ht="16.5" customHeight="1" x14ac:dyDescent="0.3">
      <c r="A31" s="27" t="s">
        <v>19</v>
      </c>
      <c r="B31" s="28">
        <f>(STDEV(B24:B29)/B30)</f>
        <v>1.8950272238096564E-3</v>
      </c>
      <c r="C31" s="29"/>
      <c r="D31" s="29"/>
      <c r="E31" s="30"/>
    </row>
    <row r="32" spans="1:5" s="405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405" customFormat="1" ht="15.75" customHeight="1" x14ac:dyDescent="0.25">
      <c r="A33" s="71"/>
      <c r="B33" s="71"/>
      <c r="C33" s="71"/>
      <c r="D33" s="71"/>
      <c r="E33" s="71"/>
    </row>
    <row r="34" spans="1:5" s="405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12" t="s">
        <v>131</v>
      </c>
      <c r="C39" s="71"/>
      <c r="D39" s="71"/>
      <c r="E39" s="71"/>
    </row>
    <row r="40" spans="1:5" ht="16.5" customHeight="1" x14ac:dyDescent="0.3">
      <c r="A40" s="74" t="s">
        <v>6</v>
      </c>
      <c r="B40" s="12">
        <v>99.3</v>
      </c>
      <c r="C40" s="71"/>
      <c r="D40" s="71"/>
      <c r="E40" s="71"/>
    </row>
    <row r="41" spans="1:5" ht="16.5" customHeight="1" x14ac:dyDescent="0.3">
      <c r="A41" s="8" t="s">
        <v>8</v>
      </c>
      <c r="B41" s="12">
        <v>19.75</v>
      </c>
      <c r="C41" s="71"/>
      <c r="D41" s="71"/>
      <c r="E41" s="71"/>
    </row>
    <row r="42" spans="1:5" ht="16.5" customHeight="1" x14ac:dyDescent="0.3">
      <c r="A42" s="8" t="s">
        <v>10</v>
      </c>
      <c r="B42" s="13">
        <f>19.75/25*4/100</f>
        <v>3.1600000000000003E-2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3716035</v>
      </c>
      <c r="C45" s="474">
        <v>10217</v>
      </c>
      <c r="D45" s="19">
        <v>1</v>
      </c>
      <c r="E45" s="20">
        <v>3.1</v>
      </c>
    </row>
    <row r="46" spans="1:5" ht="16.5" customHeight="1" x14ac:dyDescent="0.3">
      <c r="A46" s="17">
        <v>2</v>
      </c>
      <c r="B46" s="18">
        <v>3727845</v>
      </c>
      <c r="C46" s="18">
        <v>10192.299999999999</v>
      </c>
      <c r="D46" s="19">
        <v>1</v>
      </c>
      <c r="E46" s="19">
        <v>3.1</v>
      </c>
    </row>
    <row r="47" spans="1:5" ht="16.5" customHeight="1" x14ac:dyDescent="0.3">
      <c r="A47" s="17">
        <v>3</v>
      </c>
      <c r="B47" s="18">
        <v>3726878</v>
      </c>
      <c r="C47" s="18">
        <v>10241.9</v>
      </c>
      <c r="D47" s="19">
        <v>1.1000000000000001</v>
      </c>
      <c r="E47" s="19">
        <v>3.1</v>
      </c>
    </row>
    <row r="48" spans="1:5" ht="16.5" customHeight="1" x14ac:dyDescent="0.3">
      <c r="A48" s="17">
        <v>4</v>
      </c>
      <c r="B48" s="18">
        <v>3731827</v>
      </c>
      <c r="C48" s="18">
        <v>10243.1</v>
      </c>
      <c r="D48" s="19">
        <v>1</v>
      </c>
      <c r="E48" s="19">
        <v>3.1</v>
      </c>
    </row>
    <row r="49" spans="1:7" ht="16.5" customHeight="1" x14ac:dyDescent="0.3">
      <c r="A49" s="17">
        <v>5</v>
      </c>
      <c r="B49" s="18">
        <v>3729470</v>
      </c>
      <c r="C49" s="18">
        <v>10221.9</v>
      </c>
      <c r="D49" s="19">
        <v>1</v>
      </c>
      <c r="E49" s="19">
        <v>3.1</v>
      </c>
    </row>
    <row r="50" spans="1:7" ht="16.5" customHeight="1" x14ac:dyDescent="0.3">
      <c r="A50" s="17">
        <v>6</v>
      </c>
      <c r="B50" s="21">
        <v>3704826</v>
      </c>
      <c r="C50" s="21">
        <v>10219.4</v>
      </c>
      <c r="D50" s="22">
        <v>1</v>
      </c>
      <c r="E50" s="22">
        <v>3.1</v>
      </c>
    </row>
    <row r="51" spans="1:7" ht="16.5" customHeight="1" x14ac:dyDescent="0.3">
      <c r="A51" s="23" t="s">
        <v>18</v>
      </c>
      <c r="B51" s="24">
        <f>AVERAGE(B45:B50)</f>
        <v>3722813.5</v>
      </c>
      <c r="C51" s="25">
        <f>AVERAGE(C45:C50)</f>
        <v>10222.6</v>
      </c>
      <c r="D51" s="26">
        <f>AVERAGE(D45:D50)</f>
        <v>1.0166666666666666</v>
      </c>
      <c r="E51" s="26">
        <f>AVERAGE(E45:E50)</f>
        <v>3.1</v>
      </c>
    </row>
    <row r="52" spans="1:7" ht="16.5" customHeight="1" x14ac:dyDescent="0.3">
      <c r="A52" s="27" t="s">
        <v>19</v>
      </c>
      <c r="B52" s="28">
        <f>(STDEV(B45:B50)/B51)</f>
        <v>2.7834599576153952E-3</v>
      </c>
      <c r="C52" s="29"/>
      <c r="D52" s="29"/>
      <c r="E52" s="30"/>
    </row>
    <row r="53" spans="1:7" s="405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405" customFormat="1" ht="15.75" customHeight="1" x14ac:dyDescent="0.25">
      <c r="A54" s="71"/>
      <c r="B54" s="71"/>
      <c r="C54" s="71"/>
      <c r="D54" s="71"/>
      <c r="E54" s="71"/>
    </row>
    <row r="55" spans="1:7" s="405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5"/>
      <c r="D58" s="42"/>
      <c r="F58" s="43"/>
      <c r="G58" s="43"/>
    </row>
    <row r="59" spans="1:7" ht="15" customHeight="1" x14ac:dyDescent="0.3">
      <c r="B59" s="476" t="s">
        <v>26</v>
      </c>
      <c r="C59" s="476"/>
      <c r="E59" s="470" t="s">
        <v>27</v>
      </c>
      <c r="F59" s="45"/>
      <c r="G59" s="470" t="s">
        <v>28</v>
      </c>
    </row>
    <row r="60" spans="1:7" ht="15" customHeight="1" x14ac:dyDescent="0.3">
      <c r="A60" s="46" t="s">
        <v>29</v>
      </c>
      <c r="B60" s="48" t="s">
        <v>137</v>
      </c>
      <c r="C60" s="48"/>
      <c r="E60" s="472">
        <v>42381</v>
      </c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0" t="s">
        <v>31</v>
      </c>
      <c r="B11" s="481"/>
      <c r="C11" s="481"/>
      <c r="D11" s="481"/>
      <c r="E11" s="481"/>
      <c r="F11" s="482"/>
      <c r="G11" s="90"/>
    </row>
    <row r="12" spans="1:7" ht="16.5" customHeight="1" x14ac:dyDescent="0.3">
      <c r="A12" s="479" t="s">
        <v>32</v>
      </c>
      <c r="B12" s="479"/>
      <c r="C12" s="479"/>
      <c r="D12" s="479"/>
      <c r="E12" s="479"/>
      <c r="F12" s="479"/>
      <c r="G12" s="89"/>
    </row>
    <row r="14" spans="1:7" ht="16.5" customHeight="1" x14ac:dyDescent="0.3">
      <c r="A14" s="484" t="s">
        <v>33</v>
      </c>
      <c r="B14" s="484"/>
      <c r="C14" s="59" t="s">
        <v>5</v>
      </c>
    </row>
    <row r="15" spans="1:7" ht="16.5" customHeight="1" x14ac:dyDescent="0.3">
      <c r="A15" s="484" t="s">
        <v>34</v>
      </c>
      <c r="B15" s="484"/>
      <c r="C15" s="59" t="s">
        <v>7</v>
      </c>
    </row>
    <row r="16" spans="1:7" ht="16.5" customHeight="1" x14ac:dyDescent="0.3">
      <c r="A16" s="484" t="s">
        <v>35</v>
      </c>
      <c r="B16" s="484"/>
      <c r="C16" s="59" t="s">
        <v>9</v>
      </c>
    </row>
    <row r="17" spans="1:5" ht="16.5" customHeight="1" x14ac:dyDescent="0.3">
      <c r="A17" s="484" t="s">
        <v>36</v>
      </c>
      <c r="B17" s="484"/>
      <c r="C17" s="59" t="s">
        <v>11</v>
      </c>
    </row>
    <row r="18" spans="1:5" ht="16.5" customHeight="1" x14ac:dyDescent="0.3">
      <c r="A18" s="484" t="s">
        <v>37</v>
      </c>
      <c r="B18" s="484"/>
      <c r="C18" s="96" t="s">
        <v>12</v>
      </c>
    </row>
    <row r="19" spans="1:5" ht="16.5" customHeight="1" x14ac:dyDescent="0.3">
      <c r="A19" s="484" t="s">
        <v>38</v>
      </c>
      <c r="B19" s="484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9" t="s">
        <v>1</v>
      </c>
      <c r="B21" s="479"/>
      <c r="C21" s="58" t="s">
        <v>39</v>
      </c>
      <c r="D21" s="65"/>
    </row>
    <row r="22" spans="1:5" ht="15.75" customHeight="1" x14ac:dyDescent="0.3">
      <c r="A22" s="483"/>
      <c r="B22" s="483"/>
      <c r="C22" s="56"/>
      <c r="D22" s="483"/>
      <c r="E22" s="483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1048.3599999999999</v>
      </c>
      <c r="D24" s="86">
        <f t="shared" ref="D24:D43" si="0">(C24-$C$46)/$C$46</f>
        <v>1.412172923832028E-2</v>
      </c>
      <c r="E24" s="52"/>
    </row>
    <row r="25" spans="1:5" ht="15.75" customHeight="1" x14ac:dyDescent="0.3">
      <c r="C25" s="94">
        <v>1046.76</v>
      </c>
      <c r="D25" s="87">
        <f t="shared" si="0"/>
        <v>1.2573983457499549E-2</v>
      </c>
      <c r="E25" s="52"/>
    </row>
    <row r="26" spans="1:5" ht="15.75" customHeight="1" x14ac:dyDescent="0.3">
      <c r="C26" s="94">
        <v>1043.9000000000001</v>
      </c>
      <c r="D26" s="87">
        <f t="shared" si="0"/>
        <v>9.8073878742824354E-3</v>
      </c>
      <c r="E26" s="52"/>
    </row>
    <row r="27" spans="1:5" ht="15.75" customHeight="1" x14ac:dyDescent="0.3">
      <c r="C27" s="94">
        <v>1032.32</v>
      </c>
      <c r="D27" s="87">
        <f t="shared" si="0"/>
        <v>-1.394422214408384E-3</v>
      </c>
      <c r="E27" s="52"/>
    </row>
    <row r="28" spans="1:5" ht="15.75" customHeight="1" x14ac:dyDescent="0.3">
      <c r="C28" s="94">
        <v>1038.72</v>
      </c>
      <c r="D28" s="87">
        <f t="shared" si="0"/>
        <v>4.7965609088749753E-3</v>
      </c>
      <c r="E28" s="52"/>
    </row>
    <row r="29" spans="1:5" ht="15.75" customHeight="1" x14ac:dyDescent="0.3">
      <c r="C29" s="94">
        <v>1020.26</v>
      </c>
      <c r="D29" s="87">
        <f t="shared" si="0"/>
        <v>-1.3060556037345246E-2</v>
      </c>
      <c r="E29" s="52"/>
    </row>
    <row r="30" spans="1:5" ht="15.75" customHeight="1" x14ac:dyDescent="0.3">
      <c r="C30" s="94">
        <v>1032.29</v>
      </c>
      <c r="D30" s="87">
        <f t="shared" si="0"/>
        <v>-1.423442447798748E-3</v>
      </c>
      <c r="E30" s="52"/>
    </row>
    <row r="31" spans="1:5" ht="15.75" customHeight="1" x14ac:dyDescent="0.3">
      <c r="C31" s="94">
        <v>1024.27</v>
      </c>
      <c r="D31" s="87">
        <f t="shared" si="0"/>
        <v>-9.1815181741630794E-3</v>
      </c>
      <c r="E31" s="52"/>
    </row>
    <row r="32" spans="1:5" ht="15.75" customHeight="1" x14ac:dyDescent="0.3">
      <c r="C32" s="94">
        <v>1023.88</v>
      </c>
      <c r="D32" s="87">
        <f t="shared" si="0"/>
        <v>-9.5587812082381408E-3</v>
      </c>
      <c r="E32" s="52"/>
    </row>
    <row r="33" spans="1:7" ht="15.75" customHeight="1" x14ac:dyDescent="0.3">
      <c r="C33" s="94">
        <v>1045.21</v>
      </c>
      <c r="D33" s="87">
        <f t="shared" si="0"/>
        <v>1.1074604732329426E-2</v>
      </c>
      <c r="E33" s="52"/>
    </row>
    <row r="34" spans="1:7" ht="15.75" customHeight="1" x14ac:dyDescent="0.3">
      <c r="C34" s="94">
        <v>1020.05</v>
      </c>
      <c r="D34" s="87">
        <f t="shared" si="0"/>
        <v>-1.3263697671078014E-2</v>
      </c>
      <c r="E34" s="52"/>
    </row>
    <row r="35" spans="1:7" ht="15.75" customHeight="1" x14ac:dyDescent="0.3">
      <c r="C35" s="94">
        <v>1037.3800000000001</v>
      </c>
      <c r="D35" s="87">
        <f t="shared" si="0"/>
        <v>3.5003238174376194E-3</v>
      </c>
      <c r="E35" s="52"/>
    </row>
    <row r="36" spans="1:7" ht="15.75" customHeight="1" x14ac:dyDescent="0.3">
      <c r="C36" s="94">
        <v>1030.95</v>
      </c>
      <c r="D36" s="87">
        <f t="shared" si="0"/>
        <v>-2.7196795392361037E-3</v>
      </c>
      <c r="E36" s="52"/>
    </row>
    <row r="37" spans="1:7" ht="15.75" customHeight="1" x14ac:dyDescent="0.3">
      <c r="C37" s="94">
        <v>1027.52</v>
      </c>
      <c r="D37" s="87">
        <f t="shared" si="0"/>
        <v>-6.0376595568707933E-3</v>
      </c>
      <c r="E37" s="52"/>
    </row>
    <row r="38" spans="1:7" ht="15.75" customHeight="1" x14ac:dyDescent="0.3">
      <c r="C38" s="94">
        <v>1027.0899999999999</v>
      </c>
      <c r="D38" s="87">
        <f t="shared" si="0"/>
        <v>-6.4536162354664499E-3</v>
      </c>
      <c r="E38" s="52"/>
    </row>
    <row r="39" spans="1:7" ht="15.75" customHeight="1" x14ac:dyDescent="0.3">
      <c r="C39" s="94">
        <v>1030.22</v>
      </c>
      <c r="D39" s="87">
        <f t="shared" si="0"/>
        <v>-3.4258385517356195E-3</v>
      </c>
      <c r="E39" s="52"/>
    </row>
    <row r="40" spans="1:7" ht="15.75" customHeight="1" x14ac:dyDescent="0.3">
      <c r="C40" s="94">
        <v>1022.26</v>
      </c>
      <c r="D40" s="87">
        <f t="shared" si="0"/>
        <v>-1.1125873811319223E-2</v>
      </c>
      <c r="E40" s="52"/>
    </row>
    <row r="41" spans="1:7" ht="15.75" customHeight="1" x14ac:dyDescent="0.3">
      <c r="C41" s="94">
        <v>1046.6600000000001</v>
      </c>
      <c r="D41" s="87">
        <f t="shared" si="0"/>
        <v>1.2477249346198337E-2</v>
      </c>
      <c r="E41" s="52"/>
    </row>
    <row r="42" spans="1:7" ht="15.75" customHeight="1" x14ac:dyDescent="0.3">
      <c r="C42" s="94">
        <v>1047.06</v>
      </c>
      <c r="D42" s="87">
        <f t="shared" si="0"/>
        <v>1.286418579140341E-2</v>
      </c>
      <c r="E42" s="52"/>
    </row>
    <row r="43" spans="1:7" ht="16.5" customHeight="1" x14ac:dyDescent="0.3">
      <c r="C43" s="95">
        <v>1030.07</v>
      </c>
      <c r="D43" s="88">
        <f t="shared" si="0"/>
        <v>-3.5709397186876593E-3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20675.230000000003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1033.7615000000001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7">
        <f>C46</f>
        <v>1033.7615000000001</v>
      </c>
      <c r="C49" s="92">
        <f>-IF(C46&lt;=80,10%,IF(C46&lt;250,7.5%,5%))</f>
        <v>-0.05</v>
      </c>
      <c r="D49" s="80">
        <f>IF(C46&lt;=80,C46*0.9,IF(C46&lt;250,C46*0.925,C46*0.95))</f>
        <v>982.07342500000004</v>
      </c>
    </row>
    <row r="50" spans="1:6" ht="17.25" customHeight="1" x14ac:dyDescent="0.3">
      <c r="B50" s="478"/>
      <c r="C50" s="93">
        <f>IF(C46&lt;=80, 10%, IF(C46&lt;250, 7.5%, 5%))</f>
        <v>0.05</v>
      </c>
      <c r="D50" s="80">
        <f>IF(C46&lt;=80, C46*1.1, IF(C46&lt;250, C46*1.075, C46*1.05))</f>
        <v>1085.4495750000001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1" zoomScale="5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">
      <c r="A15" s="97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99" t="s">
        <v>33</v>
      </c>
      <c r="B18" s="517" t="s">
        <v>5</v>
      </c>
      <c r="C18" s="517"/>
      <c r="D18" s="244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3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522" t="s">
        <v>134</v>
      </c>
      <c r="C20" s="522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522" t="s">
        <v>11</v>
      </c>
      <c r="C21" s="522"/>
      <c r="D21" s="522"/>
      <c r="E21" s="522"/>
      <c r="F21" s="522"/>
      <c r="G21" s="522"/>
      <c r="H21" s="522"/>
      <c r="I21" s="103"/>
    </row>
    <row r="22" spans="1:14" ht="26.25" customHeight="1" x14ac:dyDescent="0.4">
      <c r="A22" s="99" t="s">
        <v>37</v>
      </c>
      <c r="B22" s="104">
        <v>42691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42704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17" t="s">
        <v>135</v>
      </c>
      <c r="C26" s="517"/>
    </row>
    <row r="27" spans="1:14" ht="26.25" customHeight="1" x14ac:dyDescent="0.4">
      <c r="A27" s="108" t="s">
        <v>48</v>
      </c>
      <c r="B27" s="523" t="s">
        <v>136</v>
      </c>
      <c r="C27" s="523"/>
    </row>
    <row r="28" spans="1:14" ht="27" customHeight="1" x14ac:dyDescent="0.4">
      <c r="A28" s="108" t="s">
        <v>6</v>
      </c>
      <c r="B28" s="109">
        <v>99.28</v>
      </c>
    </row>
    <row r="29" spans="1:14" s="14" customFormat="1" ht="27" customHeight="1" x14ac:dyDescent="0.4">
      <c r="A29" s="108" t="s">
        <v>49</v>
      </c>
      <c r="B29" s="110">
        <v>0</v>
      </c>
      <c r="C29" s="493" t="s">
        <v>50</v>
      </c>
      <c r="D29" s="494"/>
      <c r="E29" s="494"/>
      <c r="F29" s="494"/>
      <c r="G29" s="495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99.28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6" t="s">
        <v>53</v>
      </c>
      <c r="D31" s="497"/>
      <c r="E31" s="497"/>
      <c r="F31" s="497"/>
      <c r="G31" s="497"/>
      <c r="H31" s="498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6" t="s">
        <v>55</v>
      </c>
      <c r="D32" s="497"/>
      <c r="E32" s="497"/>
      <c r="F32" s="497"/>
      <c r="G32" s="497"/>
      <c r="H32" s="498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100</v>
      </c>
      <c r="C36" s="98"/>
      <c r="D36" s="499" t="s">
        <v>59</v>
      </c>
      <c r="E36" s="524"/>
      <c r="F36" s="499" t="s">
        <v>60</v>
      </c>
      <c r="G36" s="500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1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</v>
      </c>
      <c r="C38" s="130">
        <v>1</v>
      </c>
      <c r="D38" s="131">
        <v>49805608</v>
      </c>
      <c r="E38" s="132">
        <f>IF(ISBLANK(D38),"-",$D$48/$D$45*D38)</f>
        <v>51060365.41982682</v>
      </c>
      <c r="F38" s="131">
        <v>52870972</v>
      </c>
      <c r="G38" s="133">
        <f>IF(ISBLANK(F38),"-",$D$48/$F$45*F38)</f>
        <v>51298642.9444317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49960607</v>
      </c>
      <c r="E39" s="137">
        <f>IF(ISBLANK(D39),"-",$D$48/$D$45*D39)</f>
        <v>51219269.324377239</v>
      </c>
      <c r="F39" s="136">
        <v>52971996</v>
      </c>
      <c r="G39" s="138">
        <f>IF(ISBLANK(F39),"-",$D$48/$F$45*F39)</f>
        <v>51396662.593187511</v>
      </c>
      <c r="I39" s="501">
        <f>ABS((F43/D43*D42)-F42)/D42</f>
        <v>6.0184678899433078E-3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49868065</v>
      </c>
      <c r="E40" s="137">
        <f>IF(ISBLANK(D40),"-",$D$48/$D$45*D40)</f>
        <v>51124395.904968694</v>
      </c>
      <c r="F40" s="136">
        <v>53163542</v>
      </c>
      <c r="G40" s="138">
        <f>IF(ISBLANK(F40),"-",$D$48/$F$45*F40)</f>
        <v>51582512.209522054</v>
      </c>
      <c r="I40" s="501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49878093.333333336</v>
      </c>
      <c r="E42" s="147">
        <f>AVERAGE(E38:E41)</f>
        <v>51134676.883057587</v>
      </c>
      <c r="F42" s="146">
        <f>AVERAGE(F38:F41)</f>
        <v>53002170</v>
      </c>
      <c r="G42" s="148">
        <f>AVERAGE(G38:G41)</f>
        <v>51425939.249047078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15.72</v>
      </c>
      <c r="E43" s="139"/>
      <c r="F43" s="151">
        <v>16.61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15.72</v>
      </c>
      <c r="E44" s="154"/>
      <c r="F44" s="153">
        <f>F43*$B$34</f>
        <v>16.61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15.606816000000002</v>
      </c>
      <c r="E45" s="157"/>
      <c r="F45" s="156">
        <f>F44*$B$30/100</f>
        <v>16.490407999999999</v>
      </c>
      <c r="H45" s="149"/>
    </row>
    <row r="46" spans="1:14" ht="19.5" customHeight="1" x14ac:dyDescent="0.3">
      <c r="A46" s="487" t="s">
        <v>78</v>
      </c>
      <c r="B46" s="488"/>
      <c r="C46" s="152" t="s">
        <v>79</v>
      </c>
      <c r="D46" s="158">
        <f>D45/$B$45</f>
        <v>0.15606816000000001</v>
      </c>
      <c r="E46" s="159"/>
      <c r="F46" s="160">
        <f>F45/$B$45</f>
        <v>0.16490407999999998</v>
      </c>
      <c r="H46" s="149"/>
    </row>
    <row r="47" spans="1:14" ht="27" customHeight="1" x14ac:dyDescent="0.4">
      <c r="A47" s="489"/>
      <c r="B47" s="490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16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16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51280308.06605234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3.7165110641121601E-3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tablet contains: Sulphamethoxazole B.P. 800 mg and Trimethoprim B.P. 160 mg.</v>
      </c>
    </row>
    <row r="56" spans="1:12" ht="26.25" customHeight="1" x14ac:dyDescent="0.4">
      <c r="A56" s="176" t="s">
        <v>87</v>
      </c>
      <c r="B56" s="177">
        <v>800</v>
      </c>
      <c r="C56" s="98" t="str">
        <f>B20</f>
        <v>Sulfamethoxazole</v>
      </c>
      <c r="H56" s="178"/>
    </row>
    <row r="57" spans="1:12" ht="18.75" x14ac:dyDescent="0.3">
      <c r="A57" s="175" t="s">
        <v>88</v>
      </c>
      <c r="B57" s="245">
        <f>Uniformity!C46</f>
        <v>1033.7615000000001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504" t="s">
        <v>94</v>
      </c>
      <c r="D60" s="507">
        <v>210.54</v>
      </c>
      <c r="E60" s="181">
        <v>1</v>
      </c>
      <c r="F60" s="182">
        <v>50201936</v>
      </c>
      <c r="G60" s="246">
        <f>IF(ISBLANK(F60),"-",(F60/$D$50*$D$47*$B$68)*($B$57/$D$60))</f>
        <v>769.08715516713755</v>
      </c>
      <c r="H60" s="264">
        <f t="shared" ref="H60:H71" si="0">IF(ISBLANK(F60),"-",(G60/$B$56)*100)</f>
        <v>96.135894395892194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505"/>
      <c r="D61" s="508"/>
      <c r="E61" s="183">
        <v>2</v>
      </c>
      <c r="F61" s="136">
        <v>50620897</v>
      </c>
      <c r="G61" s="247">
        <f>IF(ISBLANK(F61),"-",(F61/$D$50*$D$47*$B$68)*($B$57/$D$60))</f>
        <v>775.50558340496457</v>
      </c>
      <c r="H61" s="265">
        <f t="shared" si="0"/>
        <v>96.938197925620571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05"/>
      <c r="D62" s="508"/>
      <c r="E62" s="183">
        <v>3</v>
      </c>
      <c r="F62" s="184">
        <v>50304091</v>
      </c>
      <c r="G62" s="247">
        <f>IF(ISBLANK(F62),"-",(F62/$D$50*$D$47*$B$68)*($B$57/$D$60))</f>
        <v>770.65215653154905</v>
      </c>
      <c r="H62" s="265">
        <f t="shared" si="0"/>
        <v>96.331519566443632</v>
      </c>
      <c r="L62" s="111"/>
    </row>
    <row r="63" spans="1:12" ht="27" customHeight="1" x14ac:dyDescent="0.4">
      <c r="A63" s="123" t="s">
        <v>97</v>
      </c>
      <c r="B63" s="124">
        <v>1</v>
      </c>
      <c r="C63" s="514"/>
      <c r="D63" s="509"/>
      <c r="E63" s="185">
        <v>4</v>
      </c>
      <c r="F63" s="186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4" t="s">
        <v>99</v>
      </c>
      <c r="D64" s="507">
        <v>202.73</v>
      </c>
      <c r="E64" s="181">
        <v>1</v>
      </c>
      <c r="F64" s="182">
        <v>48465259</v>
      </c>
      <c r="G64" s="246">
        <f>IF(ISBLANK(F64),"-",(F64/$D$50*$D$47*$B$68)*($B$57/$D$64))</f>
        <v>771.08495337001375</v>
      </c>
      <c r="H64" s="264">
        <f t="shared" si="0"/>
        <v>96.385619171251719</v>
      </c>
    </row>
    <row r="65" spans="1:8" ht="26.25" customHeight="1" x14ac:dyDescent="0.4">
      <c r="A65" s="123" t="s">
        <v>100</v>
      </c>
      <c r="B65" s="124">
        <v>1</v>
      </c>
      <c r="C65" s="505"/>
      <c r="D65" s="508"/>
      <c r="E65" s="183">
        <v>2</v>
      </c>
      <c r="F65" s="136">
        <v>48783728</v>
      </c>
      <c r="G65" s="247">
        <f>IF(ISBLANK(F65),"-",(F65/$D$50*$D$47*$B$68)*($B$57/$D$64))</f>
        <v>776.1518127881136</v>
      </c>
      <c r="H65" s="265">
        <f t="shared" si="0"/>
        <v>97.0189765985142</v>
      </c>
    </row>
    <row r="66" spans="1:8" ht="26.25" customHeight="1" x14ac:dyDescent="0.4">
      <c r="A66" s="123" t="s">
        <v>101</v>
      </c>
      <c r="B66" s="124">
        <v>1</v>
      </c>
      <c r="C66" s="505"/>
      <c r="D66" s="508"/>
      <c r="E66" s="183">
        <v>3</v>
      </c>
      <c r="F66" s="136">
        <v>48384846</v>
      </c>
      <c r="G66" s="247">
        <f>IF(ISBLANK(F66),"-",(F66/$D$50*$D$47*$B$68)*($B$57/$D$64))</f>
        <v>769.80557808894184</v>
      </c>
      <c r="H66" s="265">
        <f t="shared" si="0"/>
        <v>96.22569726111773</v>
      </c>
    </row>
    <row r="67" spans="1:8" ht="27" customHeight="1" x14ac:dyDescent="0.4">
      <c r="A67" s="123" t="s">
        <v>102</v>
      </c>
      <c r="B67" s="124">
        <v>1</v>
      </c>
      <c r="C67" s="514"/>
      <c r="D67" s="509"/>
      <c r="E67" s="185">
        <v>4</v>
      </c>
      <c r="F67" s="186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1000</v>
      </c>
      <c r="C68" s="504" t="s">
        <v>104</v>
      </c>
      <c r="D68" s="507">
        <v>207.66</v>
      </c>
      <c r="E68" s="181">
        <v>1</v>
      </c>
      <c r="F68" s="182">
        <v>49937536</v>
      </c>
      <c r="G68" s="246">
        <f>IF(ISBLANK(F68),"-",(F68/$D$50*$D$47*$B$68)*($B$57/$D$68))</f>
        <v>775.64673915519279</v>
      </c>
      <c r="H68" s="265">
        <f t="shared" si="0"/>
        <v>96.955842394399099</v>
      </c>
    </row>
    <row r="69" spans="1:8" ht="27" customHeight="1" x14ac:dyDescent="0.4">
      <c r="A69" s="171" t="s">
        <v>105</v>
      </c>
      <c r="B69" s="188">
        <f>(D47*B68)/B56*B57</f>
        <v>206.75230000000002</v>
      </c>
      <c r="C69" s="505"/>
      <c r="D69" s="508"/>
      <c r="E69" s="183">
        <v>2</v>
      </c>
      <c r="F69" s="136">
        <v>49850486</v>
      </c>
      <c r="G69" s="247">
        <f>IF(ISBLANK(F69),"-",(F69/$D$50*$D$47*$B$68)*($B$57/$D$68))</f>
        <v>774.29464904318866</v>
      </c>
      <c r="H69" s="265">
        <f t="shared" si="0"/>
        <v>96.786831130398582</v>
      </c>
    </row>
    <row r="70" spans="1:8" ht="26.25" customHeight="1" x14ac:dyDescent="0.4">
      <c r="A70" s="510" t="s">
        <v>78</v>
      </c>
      <c r="B70" s="511"/>
      <c r="C70" s="505"/>
      <c r="D70" s="508"/>
      <c r="E70" s="183">
        <v>3</v>
      </c>
      <c r="F70" s="136">
        <v>49841162</v>
      </c>
      <c r="G70" s="247">
        <f>IF(ISBLANK(F70),"-",(F70/$D$50*$D$47*$B$68)*($B$57/$D$68))</f>
        <v>774.14982551413254</v>
      </c>
      <c r="H70" s="265">
        <f t="shared" si="0"/>
        <v>96.768728189266568</v>
      </c>
    </row>
    <row r="71" spans="1:8" ht="27" customHeight="1" x14ac:dyDescent="0.4">
      <c r="A71" s="512"/>
      <c r="B71" s="513"/>
      <c r="C71" s="506"/>
      <c r="D71" s="509"/>
      <c r="E71" s="185">
        <v>4</v>
      </c>
      <c r="F71" s="186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2">
        <f>AVERAGE(G60:G71)</f>
        <v>772.93093922924822</v>
      </c>
      <c r="H72" s="267">
        <f>AVERAGE(H60:H71)</f>
        <v>96.616367403656028</v>
      </c>
    </row>
    <row r="73" spans="1:8" ht="26.25" customHeight="1" x14ac:dyDescent="0.4">
      <c r="C73" s="189"/>
      <c r="D73" s="189"/>
      <c r="E73" s="189"/>
      <c r="F73" s="192" t="s">
        <v>84</v>
      </c>
      <c r="G73" s="251">
        <f>STDEV(G60:G71)/G72</f>
        <v>3.5686563179705946E-3</v>
      </c>
      <c r="H73" s="251">
        <f>STDEV(H60:H71)/H72</f>
        <v>3.5686563179705946E-3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491" t="str">
        <f>B26</f>
        <v>Sulfamethoxazole Raw Material</v>
      </c>
      <c r="D76" s="491"/>
      <c r="E76" s="197" t="s">
        <v>108</v>
      </c>
      <c r="F76" s="197"/>
      <c r="G76" s="198">
        <f>H72</f>
        <v>96.616367403656028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25" t="s">
        <v>133</v>
      </c>
      <c r="C79" s="525"/>
    </row>
    <row r="80" spans="1:8" ht="26.25" customHeight="1" x14ac:dyDescent="0.4">
      <c r="A80" s="108" t="s">
        <v>48</v>
      </c>
      <c r="B80" s="525" t="s">
        <v>136</v>
      </c>
      <c r="C80" s="525"/>
    </row>
    <row r="81" spans="1:12" ht="27" customHeight="1" x14ac:dyDescent="0.4">
      <c r="A81" s="108" t="s">
        <v>6</v>
      </c>
      <c r="B81" s="200">
        <v>99.28</v>
      </c>
    </row>
    <row r="82" spans="1:12" s="14" customFormat="1" ht="27" customHeight="1" x14ac:dyDescent="0.4">
      <c r="A82" s="108" t="s">
        <v>49</v>
      </c>
      <c r="B82" s="110">
        <v>0</v>
      </c>
      <c r="C82" s="493" t="s">
        <v>50</v>
      </c>
      <c r="D82" s="494"/>
      <c r="E82" s="494"/>
      <c r="F82" s="494"/>
      <c r="G82" s="495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99.28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6" t="s">
        <v>111</v>
      </c>
      <c r="D84" s="497"/>
      <c r="E84" s="497"/>
      <c r="F84" s="497"/>
      <c r="G84" s="497"/>
      <c r="H84" s="498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6" t="s">
        <v>112</v>
      </c>
      <c r="D85" s="497"/>
      <c r="E85" s="497"/>
      <c r="F85" s="497"/>
      <c r="G85" s="497"/>
      <c r="H85" s="498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100</v>
      </c>
      <c r="D89" s="201" t="s">
        <v>59</v>
      </c>
      <c r="E89" s="202"/>
      <c r="F89" s="499" t="s">
        <v>60</v>
      </c>
      <c r="G89" s="500"/>
    </row>
    <row r="90" spans="1:12" ht="27" customHeight="1" x14ac:dyDescent="0.4">
      <c r="A90" s="123" t="s">
        <v>61</v>
      </c>
      <c r="B90" s="124">
        <v>1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</v>
      </c>
      <c r="C91" s="205">
        <v>1</v>
      </c>
      <c r="D91" s="131">
        <v>53346095</v>
      </c>
      <c r="E91" s="132">
        <f>IF(ISBLANK(D91),"-",$D$101/$D$98*D91)</f>
        <v>59703302.66809921</v>
      </c>
      <c r="F91" s="131">
        <v>54418631</v>
      </c>
      <c r="G91" s="133">
        <f>IF(ISBLANK(F91),"-",$D$101/$F$98*F91)</f>
        <v>58038024.394394197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53293876</v>
      </c>
      <c r="E92" s="137">
        <f>IF(ISBLANK(D92),"-",$D$101/$D$98*D92)</f>
        <v>59644860.775360376</v>
      </c>
      <c r="F92" s="136">
        <v>54485077</v>
      </c>
      <c r="G92" s="138">
        <f>IF(ISBLANK(F92),"-",$D$101/$F$98*F92)</f>
        <v>58108889.730365433</v>
      </c>
      <c r="I92" s="501">
        <f>ABS((F96/D96*D95)-F95)/D95</f>
        <v>2.4158532241995538E-2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52925478</v>
      </c>
      <c r="E93" s="137">
        <f>IF(ISBLANK(D93),"-",$D$101/$D$98*D93)</f>
        <v>59232561.106634438</v>
      </c>
      <c r="F93" s="136">
        <v>54685418</v>
      </c>
      <c r="G93" s="138">
        <f>IF(ISBLANK(F93),"-",$D$101/$F$98*F93)</f>
        <v>58322555.44799801</v>
      </c>
      <c r="I93" s="501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53188483</v>
      </c>
      <c r="E95" s="147">
        <f>AVERAGE(E91:E94)</f>
        <v>59526908.183364667</v>
      </c>
      <c r="F95" s="210">
        <f>AVERAGE(F91:F94)</f>
        <v>54529708.666666664</v>
      </c>
      <c r="G95" s="211">
        <f>AVERAGE(G91:G94)</f>
        <v>58156489.857585877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471">
        <v>16</v>
      </c>
      <c r="E96" s="139"/>
      <c r="F96" s="151">
        <v>16.79</v>
      </c>
    </row>
    <row r="97" spans="1:10" ht="26.25" customHeight="1" x14ac:dyDescent="0.4">
      <c r="A97" s="123" t="s">
        <v>74</v>
      </c>
      <c r="B97" s="109">
        <v>1</v>
      </c>
      <c r="C97" s="213" t="s">
        <v>114</v>
      </c>
      <c r="D97" s="214">
        <f>D96*$B$87</f>
        <v>16</v>
      </c>
      <c r="E97" s="154"/>
      <c r="F97" s="153">
        <f>F96*$B$87</f>
        <v>16.79</v>
      </c>
    </row>
    <row r="98" spans="1:10" ht="19.5" customHeight="1" x14ac:dyDescent="0.3">
      <c r="A98" s="123" t="s">
        <v>76</v>
      </c>
      <c r="B98" s="215">
        <f>(B97/B96)*(B95/B94)*(B93/B92)*(B91/B90)*B89</f>
        <v>100</v>
      </c>
      <c r="C98" s="213" t="s">
        <v>115</v>
      </c>
      <c r="D98" s="216">
        <f>D97*$B$83/100</f>
        <v>15.8848</v>
      </c>
      <c r="E98" s="157"/>
      <c r="F98" s="156">
        <f>F97*$B$83/100</f>
        <v>16.669111999999998</v>
      </c>
    </row>
    <row r="99" spans="1:10" ht="19.5" customHeight="1" x14ac:dyDescent="0.3">
      <c r="A99" s="487" t="s">
        <v>78</v>
      </c>
      <c r="B99" s="502"/>
      <c r="C99" s="213" t="s">
        <v>116</v>
      </c>
      <c r="D99" s="217">
        <f>D98/$B$98</f>
        <v>0.15884799999999999</v>
      </c>
      <c r="E99" s="157"/>
      <c r="F99" s="160">
        <f>F98/$B$98</f>
        <v>0.16669111999999997</v>
      </c>
      <c r="G99" s="218"/>
      <c r="H99" s="149"/>
    </row>
    <row r="100" spans="1:10" ht="19.5" customHeight="1" x14ac:dyDescent="0.3">
      <c r="A100" s="489"/>
      <c r="B100" s="503"/>
      <c r="C100" s="213" t="s">
        <v>80</v>
      </c>
      <c r="D100" s="219">
        <f>$B$56/$B$116</f>
        <v>0.17777777777777778</v>
      </c>
      <c r="F100" s="165"/>
      <c r="G100" s="220"/>
      <c r="H100" s="149"/>
    </row>
    <row r="101" spans="1:10" ht="18.75" x14ac:dyDescent="0.3">
      <c r="C101" s="213" t="s">
        <v>81</v>
      </c>
      <c r="D101" s="214">
        <f>D100*$B$98</f>
        <v>17.777777777777779</v>
      </c>
      <c r="F101" s="165"/>
      <c r="G101" s="218"/>
      <c r="H101" s="149"/>
    </row>
    <row r="102" spans="1:10" ht="19.5" customHeight="1" x14ac:dyDescent="0.3">
      <c r="C102" s="221" t="s">
        <v>82</v>
      </c>
      <c r="D102" s="222">
        <f>D101/B34</f>
        <v>17.777777777777779</v>
      </c>
      <c r="F102" s="169"/>
      <c r="G102" s="218"/>
      <c r="H102" s="149"/>
      <c r="J102" s="223"/>
    </row>
    <row r="103" spans="1:10" ht="18.75" x14ac:dyDescent="0.3">
      <c r="C103" s="224" t="s">
        <v>117</v>
      </c>
      <c r="D103" s="225">
        <f>AVERAGE(E91:E94,G91:G94)</f>
        <v>58841699.020475268</v>
      </c>
      <c r="F103" s="169"/>
      <c r="G103" s="226"/>
      <c r="H103" s="149"/>
      <c r="J103" s="227"/>
    </row>
    <row r="104" spans="1:10" ht="18.75" x14ac:dyDescent="0.3">
      <c r="C104" s="192" t="s">
        <v>84</v>
      </c>
      <c r="D104" s="228">
        <f>STDEV(E91:E94,G91:G94)/D103</f>
        <v>1.3147864948497082E-2</v>
      </c>
      <c r="F104" s="169"/>
      <c r="G104" s="218"/>
      <c r="H104" s="149"/>
      <c r="J104" s="227"/>
    </row>
    <row r="105" spans="1:10" ht="19.5" customHeight="1" x14ac:dyDescent="0.3">
      <c r="C105" s="194" t="s">
        <v>20</v>
      </c>
      <c r="D105" s="229">
        <f>COUNT(E91:E94,G91:G94)</f>
        <v>6</v>
      </c>
      <c r="F105" s="169"/>
      <c r="G105" s="218"/>
      <c r="H105" s="149"/>
      <c r="J105" s="227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">
      <c r="A108" s="123" t="s">
        <v>122</v>
      </c>
      <c r="B108" s="124">
        <v>10</v>
      </c>
      <c r="C108" s="273">
        <v>1</v>
      </c>
      <c r="D108" s="274">
        <v>56976433</v>
      </c>
      <c r="E108" s="248">
        <f t="shared" ref="E108:E113" si="1">IF(ISBLANK(D108),"-",D108/$D$103*$D$100*$B$116)</f>
        <v>774.64021533672974</v>
      </c>
      <c r="F108" s="275">
        <f t="shared" ref="F108:F113" si="2">IF(ISBLANK(D108), "-", (E108/$B$56)*100)</f>
        <v>96.830026917091217</v>
      </c>
    </row>
    <row r="109" spans="1:10" ht="26.25" customHeight="1" x14ac:dyDescent="0.4">
      <c r="A109" s="123" t="s">
        <v>95</v>
      </c>
      <c r="B109" s="124">
        <v>50</v>
      </c>
      <c r="C109" s="269">
        <v>2</v>
      </c>
      <c r="D109" s="271">
        <v>56976660</v>
      </c>
      <c r="E109" s="249">
        <f t="shared" si="1"/>
        <v>774.64330158343955</v>
      </c>
      <c r="F109" s="276">
        <f t="shared" si="2"/>
        <v>96.830412697929944</v>
      </c>
    </row>
    <row r="110" spans="1:10" ht="26.25" customHeight="1" x14ac:dyDescent="0.4">
      <c r="A110" s="123" t="s">
        <v>96</v>
      </c>
      <c r="B110" s="124">
        <v>1</v>
      </c>
      <c r="C110" s="269">
        <v>3</v>
      </c>
      <c r="D110" s="271">
        <v>57249587</v>
      </c>
      <c r="E110" s="249">
        <f t="shared" si="1"/>
        <v>778.35396262203437</v>
      </c>
      <c r="F110" s="276">
        <f t="shared" si="2"/>
        <v>97.294245327754297</v>
      </c>
    </row>
    <row r="111" spans="1:10" ht="26.25" customHeight="1" x14ac:dyDescent="0.4">
      <c r="A111" s="123" t="s">
        <v>97</v>
      </c>
      <c r="B111" s="124">
        <v>1</v>
      </c>
      <c r="C111" s="269">
        <v>4</v>
      </c>
      <c r="D111" s="271">
        <v>56980883</v>
      </c>
      <c r="E111" s="249">
        <f t="shared" si="1"/>
        <v>774.70071664888189</v>
      </c>
      <c r="F111" s="276">
        <f t="shared" si="2"/>
        <v>96.837589581110237</v>
      </c>
    </row>
    <row r="112" spans="1:10" ht="26.25" customHeight="1" x14ac:dyDescent="0.4">
      <c r="A112" s="123" t="s">
        <v>98</v>
      </c>
      <c r="B112" s="124">
        <v>1</v>
      </c>
      <c r="C112" s="269">
        <v>5</v>
      </c>
      <c r="D112" s="271">
        <v>57231793</v>
      </c>
      <c r="E112" s="249">
        <f t="shared" si="1"/>
        <v>778.11203894822881</v>
      </c>
      <c r="F112" s="276">
        <f t="shared" si="2"/>
        <v>97.264004868528602</v>
      </c>
    </row>
    <row r="113" spans="1:10" ht="27" customHeight="1" x14ac:dyDescent="0.4">
      <c r="A113" s="123" t="s">
        <v>100</v>
      </c>
      <c r="B113" s="124">
        <v>1</v>
      </c>
      <c r="C113" s="270">
        <v>6</v>
      </c>
      <c r="D113" s="272">
        <v>56942281</v>
      </c>
      <c r="E113" s="250">
        <f t="shared" si="1"/>
        <v>774.17589155861288</v>
      </c>
      <c r="F113" s="277">
        <f t="shared" si="2"/>
        <v>96.771986444826609</v>
      </c>
    </row>
    <row r="114" spans="1:10" ht="27" customHeight="1" x14ac:dyDescent="0.4">
      <c r="A114" s="123" t="s">
        <v>101</v>
      </c>
      <c r="B114" s="124">
        <v>1</v>
      </c>
      <c r="C114" s="231"/>
      <c r="D114" s="190"/>
      <c r="E114" s="97"/>
      <c r="F114" s="278"/>
    </row>
    <row r="115" spans="1:10" ht="26.25" customHeight="1" x14ac:dyDescent="0.4">
      <c r="A115" s="123" t="s">
        <v>102</v>
      </c>
      <c r="B115" s="124">
        <v>1</v>
      </c>
      <c r="C115" s="231"/>
      <c r="D115" s="255" t="s">
        <v>71</v>
      </c>
      <c r="E115" s="257">
        <f>AVERAGE(E108:E113)</f>
        <v>775.77102111632121</v>
      </c>
      <c r="F115" s="279">
        <f>AVERAGE(F108:F113)</f>
        <v>96.971377639540151</v>
      </c>
    </row>
    <row r="116" spans="1:10" ht="27" customHeight="1" x14ac:dyDescent="0.4">
      <c r="A116" s="123" t="s">
        <v>103</v>
      </c>
      <c r="B116" s="155">
        <f>(B115/B114)*(B113/B112)*(B111/B110)*(B109/B108)*B107</f>
        <v>4500</v>
      </c>
      <c r="C116" s="232"/>
      <c r="D116" s="256" t="s">
        <v>84</v>
      </c>
      <c r="E116" s="254">
        <f>STDEV(E108:E113)/E115</f>
        <v>2.4722979922816345E-3</v>
      </c>
      <c r="F116" s="233">
        <f>STDEV(F108:F113)/F115</f>
        <v>2.4722979922816345E-3</v>
      </c>
      <c r="I116" s="97"/>
    </row>
    <row r="117" spans="1:10" ht="27" customHeight="1" x14ac:dyDescent="0.4">
      <c r="A117" s="487" t="s">
        <v>78</v>
      </c>
      <c r="B117" s="488"/>
      <c r="C117" s="234"/>
      <c r="D117" s="194" t="s">
        <v>20</v>
      </c>
      <c r="E117" s="259">
        <f>COUNT(E108:E113)</f>
        <v>6</v>
      </c>
      <c r="F117" s="260">
        <f>COUNT(F108:F113)</f>
        <v>6</v>
      </c>
      <c r="I117" s="97"/>
      <c r="J117" s="227"/>
    </row>
    <row r="118" spans="1:10" ht="26.25" customHeight="1" x14ac:dyDescent="0.3">
      <c r="A118" s="489"/>
      <c r="B118" s="490"/>
      <c r="C118" s="97"/>
      <c r="D118" s="258"/>
      <c r="E118" s="515" t="s">
        <v>123</v>
      </c>
      <c r="F118" s="516"/>
      <c r="G118" s="97"/>
      <c r="H118" s="97"/>
      <c r="I118" s="97"/>
    </row>
    <row r="119" spans="1:10" ht="25.5" customHeight="1" x14ac:dyDescent="0.4">
      <c r="A119" s="243"/>
      <c r="B119" s="119"/>
      <c r="C119" s="97"/>
      <c r="D119" s="256" t="s">
        <v>124</v>
      </c>
      <c r="E119" s="261">
        <f>MIN(E108:E113)</f>
        <v>774.17589155861288</v>
      </c>
      <c r="F119" s="280">
        <f>MIN(F108:F113)</f>
        <v>96.771986444826609</v>
      </c>
      <c r="G119" s="97"/>
      <c r="H119" s="97"/>
      <c r="I119" s="97"/>
    </row>
    <row r="120" spans="1:10" ht="24" customHeight="1" x14ac:dyDescent="0.4">
      <c r="A120" s="243"/>
      <c r="B120" s="119"/>
      <c r="C120" s="97"/>
      <c r="D120" s="166" t="s">
        <v>125</v>
      </c>
      <c r="E120" s="262">
        <f>MAX(E108:E113)</f>
        <v>778.35396262203437</v>
      </c>
      <c r="F120" s="281">
        <f>MAX(F108:F113)</f>
        <v>97.294245327754297</v>
      </c>
      <c r="G120" s="97"/>
      <c r="H120" s="97"/>
      <c r="I120" s="97"/>
    </row>
    <row r="121" spans="1:10" ht="27" customHeight="1" x14ac:dyDescent="0.3">
      <c r="A121" s="243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3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3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491" t="str">
        <f>B26</f>
        <v>Sulfamethoxazole Raw Material</v>
      </c>
      <c r="D124" s="491"/>
      <c r="E124" s="197" t="s">
        <v>127</v>
      </c>
      <c r="F124" s="197"/>
      <c r="G124" s="282">
        <f>F115</f>
        <v>96.971377639540151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2">
        <f>MIN(F108:F113)</f>
        <v>96.771986444826609</v>
      </c>
      <c r="E125" s="208" t="s">
        <v>130</v>
      </c>
      <c r="F125" s="282">
        <f>MAX(F108:F113)</f>
        <v>97.294245327754297</v>
      </c>
      <c r="G125" s="198"/>
      <c r="H125" s="97"/>
      <c r="I125" s="97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492" t="s">
        <v>26</v>
      </c>
      <c r="C127" s="492"/>
      <c r="E127" s="203" t="s">
        <v>27</v>
      </c>
      <c r="F127" s="237"/>
      <c r="G127" s="492" t="s">
        <v>28</v>
      </c>
      <c r="H127" s="492"/>
    </row>
    <row r="128" spans="1:10" ht="69.95" customHeight="1" x14ac:dyDescent="0.3">
      <c r="A128" s="238" t="s">
        <v>29</v>
      </c>
      <c r="B128" s="239"/>
      <c r="C128" s="239"/>
      <c r="E128" s="239"/>
      <c r="F128" s="97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7"/>
      <c r="G129" s="242"/>
      <c r="H129" s="242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7" zoomScale="50" zoomScaleNormal="40" zoomScalePageLayoutView="50" workbookViewId="0">
      <selection activeCell="B22" sqref="B22:B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5" t="s">
        <v>45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46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">
      <c r="A15" s="283"/>
    </row>
    <row r="16" spans="1:9" ht="19.5" customHeight="1" x14ac:dyDescent="0.3">
      <c r="A16" s="518" t="s">
        <v>31</v>
      </c>
      <c r="B16" s="519"/>
      <c r="C16" s="519"/>
      <c r="D16" s="519"/>
      <c r="E16" s="519"/>
      <c r="F16" s="519"/>
      <c r="G16" s="519"/>
      <c r="H16" s="520"/>
    </row>
    <row r="17" spans="1:14" ht="20.25" customHeight="1" x14ac:dyDescent="0.25">
      <c r="A17" s="521" t="s">
        <v>47</v>
      </c>
      <c r="B17" s="521"/>
      <c r="C17" s="521"/>
      <c r="D17" s="521"/>
      <c r="E17" s="521"/>
      <c r="F17" s="521"/>
      <c r="G17" s="521"/>
      <c r="H17" s="521"/>
    </row>
    <row r="18" spans="1:14" ht="26.25" customHeight="1" x14ac:dyDescent="0.4">
      <c r="A18" s="285" t="s">
        <v>33</v>
      </c>
      <c r="B18" s="517" t="s">
        <v>5</v>
      </c>
      <c r="C18" s="517"/>
      <c r="D18" s="431"/>
      <c r="E18" s="286"/>
      <c r="F18" s="287"/>
      <c r="G18" s="287"/>
      <c r="H18" s="287"/>
    </row>
    <row r="19" spans="1:14" ht="26.25" customHeight="1" x14ac:dyDescent="0.4">
      <c r="A19" s="285" t="s">
        <v>34</v>
      </c>
      <c r="B19" s="288" t="s">
        <v>7</v>
      </c>
      <c r="C19" s="440">
        <v>1</v>
      </c>
      <c r="D19" s="287"/>
      <c r="E19" s="287"/>
      <c r="F19" s="287"/>
      <c r="G19" s="287"/>
      <c r="H19" s="287"/>
    </row>
    <row r="20" spans="1:14" ht="26.25" customHeight="1" x14ac:dyDescent="0.4">
      <c r="A20" s="285" t="s">
        <v>35</v>
      </c>
      <c r="B20" s="522" t="s">
        <v>131</v>
      </c>
      <c r="C20" s="522"/>
      <c r="D20" s="287"/>
      <c r="E20" s="287"/>
      <c r="F20" s="287"/>
      <c r="G20" s="287"/>
      <c r="H20" s="287"/>
    </row>
    <row r="21" spans="1:14" ht="26.25" customHeight="1" x14ac:dyDescent="0.4">
      <c r="A21" s="285" t="s">
        <v>36</v>
      </c>
      <c r="B21" s="522" t="s">
        <v>11</v>
      </c>
      <c r="C21" s="522"/>
      <c r="D21" s="522"/>
      <c r="E21" s="522"/>
      <c r="F21" s="522"/>
      <c r="G21" s="522"/>
      <c r="H21" s="522"/>
      <c r="I21" s="289"/>
    </row>
    <row r="22" spans="1:14" ht="26.25" customHeight="1" x14ac:dyDescent="0.4">
      <c r="A22" s="285" t="s">
        <v>37</v>
      </c>
      <c r="B22" s="290">
        <v>42691</v>
      </c>
      <c r="C22" s="287"/>
      <c r="D22" s="287"/>
      <c r="E22" s="287"/>
      <c r="F22" s="287"/>
      <c r="G22" s="287"/>
      <c r="H22" s="287"/>
    </row>
    <row r="23" spans="1:14" ht="26.25" customHeight="1" x14ac:dyDescent="0.4">
      <c r="A23" s="285" t="s">
        <v>38</v>
      </c>
      <c r="B23" s="290">
        <v>42704</v>
      </c>
      <c r="C23" s="287"/>
      <c r="D23" s="287"/>
      <c r="E23" s="287"/>
      <c r="F23" s="287"/>
      <c r="G23" s="287"/>
      <c r="H23" s="287"/>
    </row>
    <row r="24" spans="1:14" ht="18.75" x14ac:dyDescent="0.3">
      <c r="A24" s="285"/>
      <c r="B24" s="291"/>
    </row>
    <row r="25" spans="1:14" ht="18.75" x14ac:dyDescent="0.3">
      <c r="A25" s="292" t="s">
        <v>1</v>
      </c>
      <c r="B25" s="291"/>
    </row>
    <row r="26" spans="1:14" ht="26.25" customHeight="1" x14ac:dyDescent="0.4">
      <c r="A26" s="293" t="s">
        <v>4</v>
      </c>
      <c r="B26" s="517" t="s">
        <v>131</v>
      </c>
      <c r="C26" s="517"/>
    </row>
    <row r="27" spans="1:14" ht="26.25" customHeight="1" x14ac:dyDescent="0.4">
      <c r="A27" s="294" t="s">
        <v>48</v>
      </c>
      <c r="B27" s="523" t="s">
        <v>132</v>
      </c>
      <c r="C27" s="523"/>
    </row>
    <row r="28" spans="1:14" ht="27" customHeight="1" x14ac:dyDescent="0.4">
      <c r="A28" s="294" t="s">
        <v>6</v>
      </c>
      <c r="B28" s="295">
        <v>99.3</v>
      </c>
    </row>
    <row r="29" spans="1:14" s="14" customFormat="1" ht="27" customHeight="1" x14ac:dyDescent="0.4">
      <c r="A29" s="294" t="s">
        <v>49</v>
      </c>
      <c r="B29" s="296">
        <v>0</v>
      </c>
      <c r="C29" s="493" t="s">
        <v>50</v>
      </c>
      <c r="D29" s="494"/>
      <c r="E29" s="494"/>
      <c r="F29" s="494"/>
      <c r="G29" s="495"/>
      <c r="I29" s="297"/>
      <c r="J29" s="297"/>
      <c r="K29" s="297"/>
      <c r="L29" s="297"/>
    </row>
    <row r="30" spans="1:14" s="14" customFormat="1" ht="19.5" customHeight="1" x14ac:dyDescent="0.3">
      <c r="A30" s="294" t="s">
        <v>51</v>
      </c>
      <c r="B30" s="298">
        <f>B28-B29</f>
        <v>99.3</v>
      </c>
      <c r="C30" s="299"/>
      <c r="D30" s="299"/>
      <c r="E30" s="299"/>
      <c r="F30" s="299"/>
      <c r="G30" s="300"/>
      <c r="I30" s="297"/>
      <c r="J30" s="297"/>
      <c r="K30" s="297"/>
      <c r="L30" s="297"/>
    </row>
    <row r="31" spans="1:14" s="14" customFormat="1" ht="27" customHeight="1" x14ac:dyDescent="0.4">
      <c r="A31" s="294" t="s">
        <v>52</v>
      </c>
      <c r="B31" s="301">
        <v>1</v>
      </c>
      <c r="C31" s="496" t="s">
        <v>53</v>
      </c>
      <c r="D31" s="497"/>
      <c r="E31" s="497"/>
      <c r="F31" s="497"/>
      <c r="G31" s="497"/>
      <c r="H31" s="498"/>
      <c r="I31" s="297"/>
      <c r="J31" s="297"/>
      <c r="K31" s="297"/>
      <c r="L31" s="297"/>
    </row>
    <row r="32" spans="1:14" s="14" customFormat="1" ht="27" customHeight="1" x14ac:dyDescent="0.4">
      <c r="A32" s="294" t="s">
        <v>54</v>
      </c>
      <c r="B32" s="301">
        <v>1</v>
      </c>
      <c r="C32" s="496" t="s">
        <v>55</v>
      </c>
      <c r="D32" s="497"/>
      <c r="E32" s="497"/>
      <c r="F32" s="497"/>
      <c r="G32" s="497"/>
      <c r="H32" s="498"/>
      <c r="I32" s="297"/>
      <c r="J32" s="297"/>
      <c r="K32" s="297"/>
      <c r="L32" s="302"/>
      <c r="M32" s="302"/>
      <c r="N32" s="303"/>
    </row>
    <row r="33" spans="1:14" s="14" customFormat="1" ht="17.25" customHeight="1" x14ac:dyDescent="0.3">
      <c r="A33" s="294"/>
      <c r="B33" s="304"/>
      <c r="C33" s="305"/>
      <c r="D33" s="305"/>
      <c r="E33" s="305"/>
      <c r="F33" s="305"/>
      <c r="G33" s="305"/>
      <c r="H33" s="305"/>
      <c r="I33" s="297"/>
      <c r="J33" s="297"/>
      <c r="K33" s="297"/>
      <c r="L33" s="302"/>
      <c r="M33" s="302"/>
      <c r="N33" s="303"/>
    </row>
    <row r="34" spans="1:14" s="14" customFormat="1" ht="18.75" x14ac:dyDescent="0.3">
      <c r="A34" s="294" t="s">
        <v>56</v>
      </c>
      <c r="B34" s="306">
        <f>B31/B32</f>
        <v>1</v>
      </c>
      <c r="C34" s="284" t="s">
        <v>57</v>
      </c>
      <c r="D34" s="284"/>
      <c r="E34" s="284"/>
      <c r="F34" s="284"/>
      <c r="G34" s="284"/>
      <c r="I34" s="297"/>
      <c r="J34" s="297"/>
      <c r="K34" s="297"/>
      <c r="L34" s="302"/>
      <c r="M34" s="302"/>
      <c r="N34" s="303"/>
    </row>
    <row r="35" spans="1:14" s="14" customFormat="1" ht="19.5" customHeight="1" x14ac:dyDescent="0.3">
      <c r="A35" s="294"/>
      <c r="B35" s="298"/>
      <c r="G35" s="284"/>
      <c r="I35" s="297"/>
      <c r="J35" s="297"/>
      <c r="K35" s="297"/>
      <c r="L35" s="302"/>
      <c r="M35" s="302"/>
      <c r="N35" s="303"/>
    </row>
    <row r="36" spans="1:14" s="14" customFormat="1" ht="27" customHeight="1" x14ac:dyDescent="0.4">
      <c r="A36" s="307" t="s">
        <v>58</v>
      </c>
      <c r="B36" s="308">
        <v>25</v>
      </c>
      <c r="C36" s="284"/>
      <c r="D36" s="499" t="s">
        <v>59</v>
      </c>
      <c r="E36" s="524"/>
      <c r="F36" s="499" t="s">
        <v>60</v>
      </c>
      <c r="G36" s="500"/>
      <c r="J36" s="297"/>
      <c r="K36" s="297"/>
      <c r="L36" s="302"/>
      <c r="M36" s="302"/>
      <c r="N36" s="303"/>
    </row>
    <row r="37" spans="1:14" s="14" customFormat="1" ht="27" customHeight="1" x14ac:dyDescent="0.4">
      <c r="A37" s="309" t="s">
        <v>61</v>
      </c>
      <c r="B37" s="310">
        <v>4</v>
      </c>
      <c r="C37" s="311" t="s">
        <v>62</v>
      </c>
      <c r="D37" s="312" t="s">
        <v>63</v>
      </c>
      <c r="E37" s="313" t="s">
        <v>64</v>
      </c>
      <c r="F37" s="312" t="s">
        <v>63</v>
      </c>
      <c r="G37" s="314" t="s">
        <v>64</v>
      </c>
      <c r="I37" s="315" t="s">
        <v>65</v>
      </c>
      <c r="J37" s="297"/>
      <c r="K37" s="297"/>
      <c r="L37" s="302"/>
      <c r="M37" s="302"/>
      <c r="N37" s="303"/>
    </row>
    <row r="38" spans="1:14" s="14" customFormat="1" ht="26.25" customHeight="1" x14ac:dyDescent="0.4">
      <c r="A38" s="309" t="s">
        <v>66</v>
      </c>
      <c r="B38" s="310">
        <v>100</v>
      </c>
      <c r="C38" s="316">
        <v>1</v>
      </c>
      <c r="D38" s="317">
        <v>3504146</v>
      </c>
      <c r="E38" s="318">
        <f>IF(ISBLANK(D38),"-",$D$48/$D$45*D38)</f>
        <v>3792421.2096172399</v>
      </c>
      <c r="F38" s="317">
        <v>3769044</v>
      </c>
      <c r="G38" s="319">
        <f>IF(ISBLANK(F38),"-",$D$48/$F$45*F38)</f>
        <v>3774851.6092007565</v>
      </c>
      <c r="I38" s="320"/>
      <c r="J38" s="297"/>
      <c r="K38" s="297"/>
      <c r="L38" s="302"/>
      <c r="M38" s="302"/>
      <c r="N38" s="303"/>
    </row>
    <row r="39" spans="1:14" s="14" customFormat="1" ht="26.25" customHeight="1" x14ac:dyDescent="0.4">
      <c r="A39" s="309" t="s">
        <v>67</v>
      </c>
      <c r="B39" s="310">
        <v>1</v>
      </c>
      <c r="C39" s="321">
        <v>2</v>
      </c>
      <c r="D39" s="322">
        <v>3515761</v>
      </c>
      <c r="E39" s="323">
        <f>IF(ISBLANK(D39),"-",$D$48/$D$45*D39)</f>
        <v>3804991.7395979268</v>
      </c>
      <c r="F39" s="322">
        <v>3775167</v>
      </c>
      <c r="G39" s="324">
        <f>IF(ISBLANK(F39),"-",$D$48/$F$45*F39)</f>
        <v>3780984.0439516208</v>
      </c>
      <c r="I39" s="501">
        <f>ABS((F43/D43*D42)-F42)/D42</f>
        <v>4.3779968128884062E-3</v>
      </c>
      <c r="J39" s="297"/>
      <c r="K39" s="297"/>
      <c r="L39" s="302"/>
      <c r="M39" s="302"/>
      <c r="N39" s="303"/>
    </row>
    <row r="40" spans="1:14" ht="26.25" customHeight="1" x14ac:dyDescent="0.4">
      <c r="A40" s="309" t="s">
        <v>68</v>
      </c>
      <c r="B40" s="310">
        <v>1</v>
      </c>
      <c r="C40" s="321">
        <v>3</v>
      </c>
      <c r="D40" s="322">
        <v>3507575</v>
      </c>
      <c r="E40" s="323">
        <f>IF(ISBLANK(D40),"-",$D$48/$D$45*D40)</f>
        <v>3796132.302798796</v>
      </c>
      <c r="F40" s="322">
        <v>3785716</v>
      </c>
      <c r="G40" s="324">
        <f>IF(ISBLANK(F40),"-",$D$48/$F$45*F40)</f>
        <v>3791549.2985958909</v>
      </c>
      <c r="I40" s="501"/>
      <c r="L40" s="302"/>
      <c r="M40" s="302"/>
      <c r="N40" s="325"/>
    </row>
    <row r="41" spans="1:14" ht="27" customHeight="1" x14ac:dyDescent="0.4">
      <c r="A41" s="309" t="s">
        <v>69</v>
      </c>
      <c r="B41" s="310">
        <v>1</v>
      </c>
      <c r="C41" s="326">
        <v>4</v>
      </c>
      <c r="D41" s="327"/>
      <c r="E41" s="328" t="str">
        <f>IF(ISBLANK(D41),"-",$D$48/$D$45*D41)</f>
        <v>-</v>
      </c>
      <c r="F41" s="327"/>
      <c r="G41" s="329" t="str">
        <f>IF(ISBLANK(F41),"-",$D$48/$F$45*F41)</f>
        <v>-</v>
      </c>
      <c r="I41" s="330"/>
      <c r="L41" s="302"/>
      <c r="M41" s="302"/>
      <c r="N41" s="325"/>
    </row>
    <row r="42" spans="1:14" ht="27" customHeight="1" x14ac:dyDescent="0.4">
      <c r="A42" s="309" t="s">
        <v>70</v>
      </c>
      <c r="B42" s="310">
        <v>1</v>
      </c>
      <c r="C42" s="331" t="s">
        <v>71</v>
      </c>
      <c r="D42" s="332">
        <f>AVERAGE(D38:D41)</f>
        <v>3509160.6666666665</v>
      </c>
      <c r="E42" s="333">
        <f>AVERAGE(E38:E41)</f>
        <v>3797848.4173379876</v>
      </c>
      <c r="F42" s="332">
        <f>AVERAGE(F38:F41)</f>
        <v>3776642.3333333335</v>
      </c>
      <c r="G42" s="334">
        <f>AVERAGE(G38:G41)</f>
        <v>3782461.6505827564</v>
      </c>
      <c r="H42" s="335"/>
    </row>
    <row r="43" spans="1:14" ht="26.25" customHeight="1" x14ac:dyDescent="0.4">
      <c r="A43" s="309" t="s">
        <v>72</v>
      </c>
      <c r="B43" s="310">
        <v>1</v>
      </c>
      <c r="C43" s="336" t="s">
        <v>73</v>
      </c>
      <c r="D43" s="337">
        <v>18.61</v>
      </c>
      <c r="E43" s="325"/>
      <c r="F43" s="337">
        <v>20.11</v>
      </c>
      <c r="H43" s="335"/>
    </row>
    <row r="44" spans="1:14" ht="26.25" customHeight="1" x14ac:dyDescent="0.4">
      <c r="A44" s="309" t="s">
        <v>74</v>
      </c>
      <c r="B44" s="310">
        <v>1</v>
      </c>
      <c r="C44" s="338" t="s">
        <v>75</v>
      </c>
      <c r="D44" s="339">
        <f>D43*$B$34</f>
        <v>18.61</v>
      </c>
      <c r="E44" s="340"/>
      <c r="F44" s="339">
        <f>F43*$B$34</f>
        <v>20.11</v>
      </c>
      <c r="H44" s="335"/>
    </row>
    <row r="45" spans="1:14" ht="19.5" customHeight="1" x14ac:dyDescent="0.3">
      <c r="A45" s="309" t="s">
        <v>76</v>
      </c>
      <c r="B45" s="341">
        <f>(B44/B43)*(B42/B41)*(B40/B39)*(B38/B37)*B36</f>
        <v>625</v>
      </c>
      <c r="C45" s="338" t="s">
        <v>77</v>
      </c>
      <c r="D45" s="342">
        <f>D44*$B$30/100</f>
        <v>18.47973</v>
      </c>
      <c r="E45" s="343"/>
      <c r="F45" s="342">
        <f>F44*$B$30/100</f>
        <v>19.969229999999996</v>
      </c>
      <c r="H45" s="335"/>
    </row>
    <row r="46" spans="1:14" ht="19.5" customHeight="1" x14ac:dyDescent="0.3">
      <c r="A46" s="487" t="s">
        <v>78</v>
      </c>
      <c r="B46" s="488"/>
      <c r="C46" s="338" t="s">
        <v>79</v>
      </c>
      <c r="D46" s="344">
        <f>D45/$B$45</f>
        <v>2.9567567999999999E-2</v>
      </c>
      <c r="E46" s="345"/>
      <c r="F46" s="346">
        <f>F45/$B$45</f>
        <v>3.1950767999999991E-2</v>
      </c>
      <c r="H46" s="335"/>
    </row>
    <row r="47" spans="1:14" ht="27" customHeight="1" x14ac:dyDescent="0.4">
      <c r="A47" s="489"/>
      <c r="B47" s="490"/>
      <c r="C47" s="347" t="s">
        <v>80</v>
      </c>
      <c r="D47" s="348">
        <v>3.2000000000000001E-2</v>
      </c>
      <c r="E47" s="349"/>
      <c r="F47" s="345"/>
      <c r="H47" s="335"/>
    </row>
    <row r="48" spans="1:14" ht="18.75" x14ac:dyDescent="0.3">
      <c r="C48" s="350" t="s">
        <v>81</v>
      </c>
      <c r="D48" s="342">
        <f>D47*$B$45</f>
        <v>20</v>
      </c>
      <c r="F48" s="351"/>
      <c r="H48" s="335"/>
    </row>
    <row r="49" spans="1:12" ht="19.5" customHeight="1" x14ac:dyDescent="0.3">
      <c r="C49" s="352" t="s">
        <v>82</v>
      </c>
      <c r="D49" s="353">
        <f>D48/B34</f>
        <v>20</v>
      </c>
      <c r="F49" s="351"/>
      <c r="H49" s="335"/>
    </row>
    <row r="50" spans="1:12" ht="18.75" x14ac:dyDescent="0.3">
      <c r="C50" s="307" t="s">
        <v>83</v>
      </c>
      <c r="D50" s="354">
        <f>AVERAGE(E38:E41,G38:G41)</f>
        <v>3790155.0339603717</v>
      </c>
      <c r="F50" s="355"/>
      <c r="H50" s="335"/>
    </row>
    <row r="51" spans="1:12" ht="18.75" x14ac:dyDescent="0.3">
      <c r="C51" s="309" t="s">
        <v>84</v>
      </c>
      <c r="D51" s="356">
        <f>STDEV(E38:E41,G38:G41)/D50</f>
        <v>2.8446879821889849E-3</v>
      </c>
      <c r="F51" s="355"/>
      <c r="H51" s="335"/>
    </row>
    <row r="52" spans="1:12" ht="19.5" customHeight="1" x14ac:dyDescent="0.3">
      <c r="C52" s="357" t="s">
        <v>20</v>
      </c>
      <c r="D52" s="358">
        <f>COUNT(E38:E41,G38:G41)</f>
        <v>6</v>
      </c>
      <c r="F52" s="355"/>
    </row>
    <row r="54" spans="1:12" ht="18.75" x14ac:dyDescent="0.3">
      <c r="A54" s="359" t="s">
        <v>1</v>
      </c>
      <c r="B54" s="360" t="s">
        <v>85</v>
      </c>
    </row>
    <row r="55" spans="1:12" ht="18.75" x14ac:dyDescent="0.3">
      <c r="A55" s="284" t="s">
        <v>86</v>
      </c>
      <c r="B55" s="361" t="str">
        <f>B21</f>
        <v>Each tablet contains: Sulphamethoxazole B.P. 800 mg and Trimethoprim B.P. 160 mg.</v>
      </c>
    </row>
    <row r="56" spans="1:12" ht="26.25" customHeight="1" x14ac:dyDescent="0.4">
      <c r="A56" s="362" t="s">
        <v>87</v>
      </c>
      <c r="B56" s="363">
        <v>160</v>
      </c>
      <c r="C56" s="284" t="str">
        <f>B20</f>
        <v>Trimethoprim</v>
      </c>
      <c r="H56" s="364"/>
    </row>
    <row r="57" spans="1:12" ht="18.75" x14ac:dyDescent="0.3">
      <c r="A57" s="361" t="s">
        <v>88</v>
      </c>
      <c r="B57" s="432">
        <f>Uniformity!C46</f>
        <v>1033.7615000000001</v>
      </c>
      <c r="H57" s="364"/>
    </row>
    <row r="58" spans="1:12" ht="19.5" customHeight="1" x14ac:dyDescent="0.3">
      <c r="H58" s="364"/>
    </row>
    <row r="59" spans="1:12" s="14" customFormat="1" ht="27" customHeight="1" x14ac:dyDescent="0.4">
      <c r="A59" s="307" t="s">
        <v>89</v>
      </c>
      <c r="B59" s="308">
        <v>100</v>
      </c>
      <c r="C59" s="284"/>
      <c r="D59" s="365" t="s">
        <v>90</v>
      </c>
      <c r="E59" s="366" t="s">
        <v>62</v>
      </c>
      <c r="F59" s="366" t="s">
        <v>63</v>
      </c>
      <c r="G59" s="366" t="s">
        <v>91</v>
      </c>
      <c r="H59" s="311" t="s">
        <v>92</v>
      </c>
      <c r="L59" s="297"/>
    </row>
    <row r="60" spans="1:12" s="14" customFormat="1" ht="26.25" customHeight="1" x14ac:dyDescent="0.4">
      <c r="A60" s="309" t="s">
        <v>93</v>
      </c>
      <c r="B60" s="310">
        <v>5</v>
      </c>
      <c r="C60" s="504" t="s">
        <v>94</v>
      </c>
      <c r="D60" s="507">
        <v>210.54</v>
      </c>
      <c r="E60" s="367">
        <v>1</v>
      </c>
      <c r="F60" s="368">
        <v>3715787</v>
      </c>
      <c r="G60" s="433">
        <f>IF(ISBLANK(F60),"-",(F60/$D$50*$D$47*$B$68)*($B$57/$D$60))</f>
        <v>154.03859533824541</v>
      </c>
      <c r="H60" s="451">
        <f t="shared" ref="H60:H71" si="0">IF(ISBLANK(F60),"-",(G60/$B$56)*100)</f>
        <v>96.274122086403381</v>
      </c>
      <c r="L60" s="297"/>
    </row>
    <row r="61" spans="1:12" s="14" customFormat="1" ht="26.25" customHeight="1" x14ac:dyDescent="0.4">
      <c r="A61" s="309" t="s">
        <v>95</v>
      </c>
      <c r="B61" s="310">
        <v>50</v>
      </c>
      <c r="C61" s="505"/>
      <c r="D61" s="508"/>
      <c r="E61" s="369">
        <v>2</v>
      </c>
      <c r="F61" s="322">
        <v>3739961</v>
      </c>
      <c r="G61" s="434">
        <f>IF(ISBLANK(F61),"-",(F61/$D$50*$D$47*$B$68)*($B$57/$D$60))</f>
        <v>155.04073270610502</v>
      </c>
      <c r="H61" s="452">
        <f t="shared" si="0"/>
        <v>96.900457941315636</v>
      </c>
      <c r="L61" s="297"/>
    </row>
    <row r="62" spans="1:12" s="14" customFormat="1" ht="26.25" customHeight="1" x14ac:dyDescent="0.4">
      <c r="A62" s="309" t="s">
        <v>96</v>
      </c>
      <c r="B62" s="310">
        <v>1</v>
      </c>
      <c r="C62" s="505"/>
      <c r="D62" s="508"/>
      <c r="E62" s="369">
        <v>3</v>
      </c>
      <c r="F62" s="370">
        <v>3718951</v>
      </c>
      <c r="G62" s="434">
        <f>IF(ISBLANK(F62),"-",(F62/$D$50*$D$47*$B$68)*($B$57/$D$60))</f>
        <v>154.16975950767986</v>
      </c>
      <c r="H62" s="452">
        <f t="shared" si="0"/>
        <v>96.356099692299907</v>
      </c>
      <c r="L62" s="297"/>
    </row>
    <row r="63" spans="1:12" ht="27" customHeight="1" x14ac:dyDescent="0.4">
      <c r="A63" s="309" t="s">
        <v>97</v>
      </c>
      <c r="B63" s="310">
        <v>1</v>
      </c>
      <c r="C63" s="514"/>
      <c r="D63" s="509"/>
      <c r="E63" s="371">
        <v>4</v>
      </c>
      <c r="F63" s="372"/>
      <c r="G63" s="434" t="str">
        <f>IF(ISBLANK(F63),"-",(F63/$D$50*$D$47*$B$68)*($B$57/$D$60))</f>
        <v>-</v>
      </c>
      <c r="H63" s="452" t="str">
        <f t="shared" si="0"/>
        <v>-</v>
      </c>
    </row>
    <row r="64" spans="1:12" ht="26.25" customHeight="1" x14ac:dyDescent="0.4">
      <c r="A64" s="309" t="s">
        <v>98</v>
      </c>
      <c r="B64" s="310">
        <v>1</v>
      </c>
      <c r="C64" s="504" t="s">
        <v>99</v>
      </c>
      <c r="D64" s="507">
        <v>202.73</v>
      </c>
      <c r="E64" s="367">
        <v>1</v>
      </c>
      <c r="F64" s="368">
        <v>3594424</v>
      </c>
      <c r="G64" s="433">
        <f>IF(ISBLANK(F64),"-",(F64/$D$50*$D$47*$B$68)*($B$57/$D$64))</f>
        <v>154.74785658286362</v>
      </c>
      <c r="H64" s="451">
        <f t="shared" si="0"/>
        <v>96.717410364289762</v>
      </c>
    </row>
    <row r="65" spans="1:8" ht="26.25" customHeight="1" x14ac:dyDescent="0.4">
      <c r="A65" s="309" t="s">
        <v>100</v>
      </c>
      <c r="B65" s="310">
        <v>1</v>
      </c>
      <c r="C65" s="505"/>
      <c r="D65" s="508"/>
      <c r="E65" s="369">
        <v>2</v>
      </c>
      <c r="F65" s="322">
        <v>3617287</v>
      </c>
      <c r="G65" s="434">
        <f>IF(ISBLANK(F65),"-",(F65/$D$50*$D$47*$B$68)*($B$57/$D$64))</f>
        <v>155.73215900379503</v>
      </c>
      <c r="H65" s="452">
        <f t="shared" si="0"/>
        <v>97.332599377371892</v>
      </c>
    </row>
    <row r="66" spans="1:8" ht="26.25" customHeight="1" x14ac:dyDescent="0.4">
      <c r="A66" s="309" t="s">
        <v>101</v>
      </c>
      <c r="B66" s="310">
        <v>1</v>
      </c>
      <c r="C66" s="505"/>
      <c r="D66" s="508"/>
      <c r="E66" s="369">
        <v>3</v>
      </c>
      <c r="F66" s="322">
        <v>3587683</v>
      </c>
      <c r="G66" s="434">
        <f>IF(ISBLANK(F66),"-",(F66/$D$50*$D$47*$B$68)*($B$57/$D$64))</f>
        <v>154.45764171082149</v>
      </c>
      <c r="H66" s="452">
        <f t="shared" si="0"/>
        <v>96.536026069263443</v>
      </c>
    </row>
    <row r="67" spans="1:8" ht="27" customHeight="1" x14ac:dyDescent="0.4">
      <c r="A67" s="309" t="s">
        <v>102</v>
      </c>
      <c r="B67" s="310">
        <v>1</v>
      </c>
      <c r="C67" s="514"/>
      <c r="D67" s="509"/>
      <c r="E67" s="371">
        <v>4</v>
      </c>
      <c r="F67" s="372"/>
      <c r="G67" s="450" t="str">
        <f>IF(ISBLANK(F67),"-",(F67/$D$50*$D$47*$B$68)*($B$57/$D$64))</f>
        <v>-</v>
      </c>
      <c r="H67" s="453" t="str">
        <f t="shared" si="0"/>
        <v>-</v>
      </c>
    </row>
    <row r="68" spans="1:8" ht="26.25" customHeight="1" x14ac:dyDescent="0.4">
      <c r="A68" s="309" t="s">
        <v>103</v>
      </c>
      <c r="B68" s="373">
        <f>(B67/B66)*(B65/B64)*(B63/B62)*(B61/B60)*B59</f>
        <v>1000</v>
      </c>
      <c r="C68" s="504" t="s">
        <v>104</v>
      </c>
      <c r="D68" s="507">
        <v>207.66</v>
      </c>
      <c r="E68" s="367">
        <v>1</v>
      </c>
      <c r="F68" s="368">
        <v>3697167</v>
      </c>
      <c r="G68" s="433">
        <f>IF(ISBLANK(F68),"-",(F68/$D$50*$D$47*$B$68)*($B$57/$D$68))</f>
        <v>155.39232889829884</v>
      </c>
      <c r="H68" s="452">
        <f t="shared" si="0"/>
        <v>97.120205561436777</v>
      </c>
    </row>
    <row r="69" spans="1:8" ht="27" customHeight="1" x14ac:dyDescent="0.4">
      <c r="A69" s="357" t="s">
        <v>105</v>
      </c>
      <c r="B69" s="374">
        <f>(D47*B68)/B56*B57</f>
        <v>206.75230000000002</v>
      </c>
      <c r="C69" s="505"/>
      <c r="D69" s="508"/>
      <c r="E69" s="369">
        <v>2</v>
      </c>
      <c r="F69" s="322">
        <v>3690946</v>
      </c>
      <c r="G69" s="434">
        <f>IF(ISBLANK(F69),"-",(F69/$D$50*$D$47*$B$68)*($B$57/$D$68))</f>
        <v>155.13085959543091</v>
      </c>
      <c r="H69" s="452">
        <f t="shared" si="0"/>
        <v>96.95678724714432</v>
      </c>
    </row>
    <row r="70" spans="1:8" ht="26.25" customHeight="1" x14ac:dyDescent="0.4">
      <c r="A70" s="510" t="s">
        <v>78</v>
      </c>
      <c r="B70" s="511"/>
      <c r="C70" s="505"/>
      <c r="D70" s="508"/>
      <c r="E70" s="369">
        <v>3</v>
      </c>
      <c r="F70" s="322">
        <v>3691429</v>
      </c>
      <c r="G70" s="434">
        <f>IF(ISBLANK(F70),"-",(F70/$D$50*$D$47*$B$68)*($B$57/$D$68))</f>
        <v>155.15116013767255</v>
      </c>
      <c r="H70" s="452">
        <f t="shared" si="0"/>
        <v>96.96947508604535</v>
      </c>
    </row>
    <row r="71" spans="1:8" ht="27" customHeight="1" x14ac:dyDescent="0.4">
      <c r="A71" s="512"/>
      <c r="B71" s="513"/>
      <c r="C71" s="506"/>
      <c r="D71" s="509"/>
      <c r="E71" s="371">
        <v>4</v>
      </c>
      <c r="F71" s="372"/>
      <c r="G71" s="450" t="str">
        <f>IF(ISBLANK(F71),"-",(F71/$D$50*$D$47*$B$68)*($B$57/$D$68))</f>
        <v>-</v>
      </c>
      <c r="H71" s="453" t="str">
        <f t="shared" si="0"/>
        <v>-</v>
      </c>
    </row>
    <row r="72" spans="1:8" ht="26.25" customHeight="1" x14ac:dyDescent="0.4">
      <c r="A72" s="375"/>
      <c r="B72" s="375"/>
      <c r="C72" s="375"/>
      <c r="D72" s="375"/>
      <c r="E72" s="375"/>
      <c r="F72" s="377" t="s">
        <v>71</v>
      </c>
      <c r="G72" s="439">
        <f>AVERAGE(G60:G71)</f>
        <v>154.87345483121251</v>
      </c>
      <c r="H72" s="454">
        <f>AVERAGE(H60:H71)</f>
        <v>96.795909269507831</v>
      </c>
    </row>
    <row r="73" spans="1:8" ht="26.25" customHeight="1" x14ac:dyDescent="0.4">
      <c r="C73" s="375"/>
      <c r="D73" s="375"/>
      <c r="E73" s="375"/>
      <c r="F73" s="378" t="s">
        <v>84</v>
      </c>
      <c r="G73" s="438">
        <f>STDEV(G60:G71)/G72</f>
        <v>3.6517202651352369E-3</v>
      </c>
      <c r="H73" s="438">
        <f>STDEV(H60:H71)/H72</f>
        <v>3.6517202651352386E-3</v>
      </c>
    </row>
    <row r="74" spans="1:8" ht="27" customHeight="1" x14ac:dyDescent="0.4">
      <c r="A74" s="375"/>
      <c r="B74" s="375"/>
      <c r="C74" s="376"/>
      <c r="D74" s="376"/>
      <c r="E74" s="379"/>
      <c r="F74" s="380" t="s">
        <v>20</v>
      </c>
      <c r="G74" s="381">
        <f>COUNT(G60:G71)</f>
        <v>9</v>
      </c>
      <c r="H74" s="381">
        <f>COUNT(H60:H71)</f>
        <v>9</v>
      </c>
    </row>
    <row r="76" spans="1:8" ht="26.25" customHeight="1" x14ac:dyDescent="0.4">
      <c r="A76" s="293" t="s">
        <v>106</v>
      </c>
      <c r="B76" s="382" t="s">
        <v>107</v>
      </c>
      <c r="C76" s="491" t="str">
        <f>B26</f>
        <v>Trimethoprim</v>
      </c>
      <c r="D76" s="491"/>
      <c r="E76" s="383" t="s">
        <v>108</v>
      </c>
      <c r="F76" s="383"/>
      <c r="G76" s="384">
        <f>H72</f>
        <v>96.795909269507831</v>
      </c>
      <c r="H76" s="385"/>
    </row>
    <row r="77" spans="1:8" ht="18.75" x14ac:dyDescent="0.3">
      <c r="A77" s="292" t="s">
        <v>109</v>
      </c>
      <c r="B77" s="292" t="s">
        <v>110</v>
      </c>
    </row>
    <row r="78" spans="1:8" ht="18.75" x14ac:dyDescent="0.3">
      <c r="A78" s="292"/>
      <c r="B78" s="292"/>
    </row>
    <row r="79" spans="1:8" ht="26.25" customHeight="1" x14ac:dyDescent="0.4">
      <c r="A79" s="293" t="s">
        <v>4</v>
      </c>
      <c r="B79" s="525" t="s">
        <v>131</v>
      </c>
      <c r="C79" s="525"/>
    </row>
    <row r="80" spans="1:8" ht="26.25" customHeight="1" x14ac:dyDescent="0.4">
      <c r="A80" s="294" t="s">
        <v>48</v>
      </c>
      <c r="B80" s="525" t="s">
        <v>132</v>
      </c>
      <c r="C80" s="525"/>
    </row>
    <row r="81" spans="1:12" ht="27" customHeight="1" x14ac:dyDescent="0.4">
      <c r="A81" s="294" t="s">
        <v>6</v>
      </c>
      <c r="B81" s="386">
        <v>99.3</v>
      </c>
    </row>
    <row r="82" spans="1:12" s="14" customFormat="1" ht="27" customHeight="1" x14ac:dyDescent="0.4">
      <c r="A82" s="294" t="s">
        <v>49</v>
      </c>
      <c r="B82" s="296">
        <v>0</v>
      </c>
      <c r="C82" s="493" t="s">
        <v>50</v>
      </c>
      <c r="D82" s="494"/>
      <c r="E82" s="494"/>
      <c r="F82" s="494"/>
      <c r="G82" s="495"/>
      <c r="I82" s="297"/>
      <c r="J82" s="297"/>
      <c r="K82" s="297"/>
      <c r="L82" s="297"/>
    </row>
    <row r="83" spans="1:12" s="14" customFormat="1" ht="19.5" customHeight="1" x14ac:dyDescent="0.3">
      <c r="A83" s="294" t="s">
        <v>51</v>
      </c>
      <c r="B83" s="298">
        <f>B81-B82</f>
        <v>99.3</v>
      </c>
      <c r="C83" s="299"/>
      <c r="D83" s="299"/>
      <c r="E83" s="299"/>
      <c r="F83" s="299"/>
      <c r="G83" s="300"/>
      <c r="I83" s="297"/>
      <c r="J83" s="297"/>
      <c r="K83" s="297"/>
      <c r="L83" s="297"/>
    </row>
    <row r="84" spans="1:12" s="14" customFormat="1" ht="27" customHeight="1" x14ac:dyDescent="0.4">
      <c r="A84" s="294" t="s">
        <v>52</v>
      </c>
      <c r="B84" s="301">
        <v>1</v>
      </c>
      <c r="C84" s="496" t="s">
        <v>111</v>
      </c>
      <c r="D84" s="497"/>
      <c r="E84" s="497"/>
      <c r="F84" s="497"/>
      <c r="G84" s="497"/>
      <c r="H84" s="498"/>
      <c r="I84" s="297"/>
      <c r="J84" s="297"/>
      <c r="K84" s="297"/>
      <c r="L84" s="297"/>
    </row>
    <row r="85" spans="1:12" s="14" customFormat="1" ht="27" customHeight="1" x14ac:dyDescent="0.4">
      <c r="A85" s="294" t="s">
        <v>54</v>
      </c>
      <c r="B85" s="301">
        <v>1</v>
      </c>
      <c r="C85" s="496" t="s">
        <v>112</v>
      </c>
      <c r="D85" s="497"/>
      <c r="E85" s="497"/>
      <c r="F85" s="497"/>
      <c r="G85" s="497"/>
      <c r="H85" s="498"/>
      <c r="I85" s="297"/>
      <c r="J85" s="297"/>
      <c r="K85" s="297"/>
      <c r="L85" s="297"/>
    </row>
    <row r="86" spans="1:12" s="14" customFormat="1" ht="18.75" x14ac:dyDescent="0.3">
      <c r="A86" s="294"/>
      <c r="B86" s="304"/>
      <c r="C86" s="305"/>
      <c r="D86" s="305"/>
      <c r="E86" s="305"/>
      <c r="F86" s="305"/>
      <c r="G86" s="305"/>
      <c r="H86" s="305"/>
      <c r="I86" s="297"/>
      <c r="J86" s="297"/>
      <c r="K86" s="297"/>
      <c r="L86" s="297"/>
    </row>
    <row r="87" spans="1:12" s="14" customFormat="1" ht="18.75" x14ac:dyDescent="0.3">
      <c r="A87" s="294" t="s">
        <v>56</v>
      </c>
      <c r="B87" s="306">
        <f>B84/B85</f>
        <v>1</v>
      </c>
      <c r="C87" s="284" t="s">
        <v>57</v>
      </c>
      <c r="D87" s="284"/>
      <c r="E87" s="284"/>
      <c r="F87" s="284"/>
      <c r="G87" s="284"/>
      <c r="I87" s="297"/>
      <c r="J87" s="297"/>
      <c r="K87" s="297"/>
      <c r="L87" s="297"/>
    </row>
    <row r="88" spans="1:12" ht="19.5" customHeight="1" x14ac:dyDescent="0.3">
      <c r="A88" s="292"/>
      <c r="B88" s="292"/>
    </row>
    <row r="89" spans="1:12" ht="27" customHeight="1" x14ac:dyDescent="0.4">
      <c r="A89" s="307" t="s">
        <v>58</v>
      </c>
      <c r="B89" s="308">
        <v>25</v>
      </c>
      <c r="D89" s="387" t="s">
        <v>59</v>
      </c>
      <c r="E89" s="388"/>
      <c r="F89" s="499" t="s">
        <v>60</v>
      </c>
      <c r="G89" s="500"/>
    </row>
    <row r="90" spans="1:12" ht="27" customHeight="1" x14ac:dyDescent="0.4">
      <c r="A90" s="309" t="s">
        <v>61</v>
      </c>
      <c r="B90" s="310">
        <v>4</v>
      </c>
      <c r="C90" s="389" t="s">
        <v>62</v>
      </c>
      <c r="D90" s="312" t="s">
        <v>63</v>
      </c>
      <c r="E90" s="313" t="s">
        <v>64</v>
      </c>
      <c r="F90" s="312" t="s">
        <v>63</v>
      </c>
      <c r="G90" s="390" t="s">
        <v>64</v>
      </c>
      <c r="I90" s="315" t="s">
        <v>65</v>
      </c>
    </row>
    <row r="91" spans="1:12" ht="26.25" customHeight="1" x14ac:dyDescent="0.4">
      <c r="A91" s="309" t="s">
        <v>66</v>
      </c>
      <c r="B91" s="310">
        <v>100</v>
      </c>
      <c r="C91" s="391">
        <v>1</v>
      </c>
      <c r="D91" s="317">
        <v>3748286</v>
      </c>
      <c r="E91" s="318">
        <f>IF(ISBLANK(D91),"-",$D$101/$D$98*D91)</f>
        <v>4247211.209833107</v>
      </c>
      <c r="F91" s="317">
        <v>3879672</v>
      </c>
      <c r="G91" s="319">
        <f>IF(ISBLANK(F91),"-",$D$101/$F$98*F91)</f>
        <v>4188263.0090971254</v>
      </c>
      <c r="I91" s="320"/>
    </row>
    <row r="92" spans="1:12" ht="26.25" customHeight="1" x14ac:dyDescent="0.4">
      <c r="A92" s="309" t="s">
        <v>67</v>
      </c>
      <c r="B92" s="310">
        <v>1</v>
      </c>
      <c r="C92" s="376">
        <v>2</v>
      </c>
      <c r="D92" s="322">
        <v>3739383</v>
      </c>
      <c r="E92" s="323">
        <f>IF(ISBLANK(D92),"-",$D$101/$D$98*D92)</f>
        <v>4237123.1532117222</v>
      </c>
      <c r="F92" s="322">
        <v>3889459</v>
      </c>
      <c r="G92" s="324">
        <f>IF(ISBLANK(F92),"-",$D$101/$F$98*F92)</f>
        <v>4198828.4718656363</v>
      </c>
      <c r="I92" s="501">
        <f>ABS((F96/D96*D95)-F95)/D95</f>
        <v>7.7068138137061197E-3</v>
      </c>
    </row>
    <row r="93" spans="1:12" ht="26.25" customHeight="1" x14ac:dyDescent="0.4">
      <c r="A93" s="309" t="s">
        <v>68</v>
      </c>
      <c r="B93" s="310">
        <v>1</v>
      </c>
      <c r="C93" s="376">
        <v>3</v>
      </c>
      <c r="D93" s="322">
        <v>3714442</v>
      </c>
      <c r="E93" s="323">
        <f>IF(ISBLANK(D93),"-",$D$101/$D$98*D93)</f>
        <v>4208862.3175165681</v>
      </c>
      <c r="F93" s="322">
        <v>3902499</v>
      </c>
      <c r="G93" s="324">
        <f>IF(ISBLANK(F93),"-",$D$101/$F$98*F93)</f>
        <v>4212905.6798457503</v>
      </c>
      <c r="I93" s="501"/>
    </row>
    <row r="94" spans="1:12" ht="27" customHeight="1" x14ac:dyDescent="0.4">
      <c r="A94" s="309" t="s">
        <v>69</v>
      </c>
      <c r="B94" s="310">
        <v>1</v>
      </c>
      <c r="C94" s="392">
        <v>4</v>
      </c>
      <c r="D94" s="327"/>
      <c r="E94" s="328" t="str">
        <f>IF(ISBLANK(D94),"-",$D$101/$D$98*D94)</f>
        <v>-</v>
      </c>
      <c r="F94" s="393"/>
      <c r="G94" s="329" t="str">
        <f>IF(ISBLANK(F94),"-",$D$101/$F$98*F94)</f>
        <v>-</v>
      </c>
      <c r="I94" s="330"/>
    </row>
    <row r="95" spans="1:12" ht="27" customHeight="1" x14ac:dyDescent="0.4">
      <c r="A95" s="309" t="s">
        <v>70</v>
      </c>
      <c r="B95" s="310">
        <v>1</v>
      </c>
      <c r="C95" s="394" t="s">
        <v>71</v>
      </c>
      <c r="D95" s="395">
        <f>AVERAGE(D91:D94)</f>
        <v>3734037</v>
      </c>
      <c r="E95" s="333">
        <f>AVERAGE(E91:E94)</f>
        <v>4231065.5601871321</v>
      </c>
      <c r="F95" s="396">
        <f>AVERAGE(F91:F94)</f>
        <v>3890543.3333333335</v>
      </c>
      <c r="G95" s="397">
        <f>AVERAGE(G91:G94)</f>
        <v>4199999.053602837</v>
      </c>
    </row>
    <row r="96" spans="1:12" ht="26.25" customHeight="1" x14ac:dyDescent="0.4">
      <c r="A96" s="309" t="s">
        <v>72</v>
      </c>
      <c r="B96" s="295">
        <v>1</v>
      </c>
      <c r="C96" s="398" t="s">
        <v>113</v>
      </c>
      <c r="D96" s="399">
        <v>19.75</v>
      </c>
      <c r="E96" s="325"/>
      <c r="F96" s="337">
        <v>20.73</v>
      </c>
    </row>
    <row r="97" spans="1:10" ht="26.25" customHeight="1" x14ac:dyDescent="0.4">
      <c r="A97" s="309" t="s">
        <v>74</v>
      </c>
      <c r="B97" s="295">
        <v>1</v>
      </c>
      <c r="C97" s="400" t="s">
        <v>114</v>
      </c>
      <c r="D97" s="401">
        <f>D96*$B$87</f>
        <v>19.75</v>
      </c>
      <c r="E97" s="340"/>
      <c r="F97" s="339">
        <f>F96*$B$87</f>
        <v>20.73</v>
      </c>
    </row>
    <row r="98" spans="1:10" ht="19.5" customHeight="1" x14ac:dyDescent="0.3">
      <c r="A98" s="309" t="s">
        <v>76</v>
      </c>
      <c r="B98" s="402">
        <f>(B97/B96)*(B95/B94)*(B93/B92)*(B91/B90)*B89</f>
        <v>625</v>
      </c>
      <c r="C98" s="400" t="s">
        <v>115</v>
      </c>
      <c r="D98" s="403">
        <f>D97*$B$83/100</f>
        <v>19.611750000000001</v>
      </c>
      <c r="E98" s="343"/>
      <c r="F98" s="342">
        <f>F97*$B$83/100</f>
        <v>20.584890000000001</v>
      </c>
    </row>
    <row r="99" spans="1:10" ht="19.5" customHeight="1" x14ac:dyDescent="0.3">
      <c r="A99" s="487" t="s">
        <v>78</v>
      </c>
      <c r="B99" s="502"/>
      <c r="C99" s="400" t="s">
        <v>116</v>
      </c>
      <c r="D99" s="404">
        <f>D98/$B$98</f>
        <v>3.1378799999999998E-2</v>
      </c>
      <c r="E99" s="343"/>
      <c r="F99" s="346">
        <f>F98/$B$98</f>
        <v>3.2935824000000002E-2</v>
      </c>
      <c r="G99" s="405"/>
      <c r="H99" s="335"/>
    </row>
    <row r="100" spans="1:10" ht="19.5" customHeight="1" x14ac:dyDescent="0.3">
      <c r="A100" s="489"/>
      <c r="B100" s="503"/>
      <c r="C100" s="400" t="s">
        <v>80</v>
      </c>
      <c r="D100" s="406">
        <f>$B$56/$B$116</f>
        <v>3.5555555555555556E-2</v>
      </c>
      <c r="F100" s="351"/>
      <c r="G100" s="407"/>
      <c r="H100" s="335"/>
    </row>
    <row r="101" spans="1:10" ht="18.75" x14ac:dyDescent="0.3">
      <c r="C101" s="400" t="s">
        <v>81</v>
      </c>
      <c r="D101" s="401">
        <f>D100*$B$98</f>
        <v>22.222222222222221</v>
      </c>
      <c r="F101" s="351"/>
      <c r="G101" s="405"/>
      <c r="H101" s="335"/>
    </row>
    <row r="102" spans="1:10" ht="19.5" customHeight="1" x14ac:dyDescent="0.3">
      <c r="C102" s="408" t="s">
        <v>82</v>
      </c>
      <c r="D102" s="409">
        <f>D101/B34</f>
        <v>22.222222222222221</v>
      </c>
      <c r="F102" s="355"/>
      <c r="G102" s="405"/>
      <c r="H102" s="335"/>
      <c r="J102" s="410"/>
    </row>
    <row r="103" spans="1:10" ht="18.75" x14ac:dyDescent="0.3">
      <c r="C103" s="411" t="s">
        <v>117</v>
      </c>
      <c r="D103" s="412">
        <f>AVERAGE(E91:E94,G91:G94)</f>
        <v>4215532.306894985</v>
      </c>
      <c r="F103" s="355"/>
      <c r="G103" s="413"/>
      <c r="H103" s="335"/>
      <c r="J103" s="414"/>
    </row>
    <row r="104" spans="1:10" ht="18.75" x14ac:dyDescent="0.3">
      <c r="C104" s="378" t="s">
        <v>84</v>
      </c>
      <c r="D104" s="415">
        <f>STDEV(E91:E94,G91:G94)/D103</f>
        <v>5.3505543431993496E-3</v>
      </c>
      <c r="F104" s="355"/>
      <c r="G104" s="405"/>
      <c r="H104" s="335"/>
      <c r="J104" s="414"/>
    </row>
    <row r="105" spans="1:10" ht="19.5" customHeight="1" x14ac:dyDescent="0.3">
      <c r="C105" s="380" t="s">
        <v>20</v>
      </c>
      <c r="D105" s="416">
        <f>COUNT(E91:E94,G91:G94)</f>
        <v>6</v>
      </c>
      <c r="F105" s="355"/>
      <c r="G105" s="405"/>
      <c r="H105" s="335"/>
      <c r="J105" s="414"/>
    </row>
    <row r="106" spans="1:10" ht="19.5" customHeight="1" x14ac:dyDescent="0.3">
      <c r="A106" s="359"/>
      <c r="B106" s="359"/>
      <c r="C106" s="359"/>
      <c r="D106" s="359"/>
      <c r="E106" s="359"/>
    </row>
    <row r="107" spans="1:10" ht="27" customHeight="1" x14ac:dyDescent="0.4">
      <c r="A107" s="307" t="s">
        <v>118</v>
      </c>
      <c r="B107" s="308">
        <v>900</v>
      </c>
      <c r="C107" s="455" t="s">
        <v>119</v>
      </c>
      <c r="D107" s="455" t="s">
        <v>63</v>
      </c>
      <c r="E107" s="455" t="s">
        <v>120</v>
      </c>
      <c r="F107" s="417" t="s">
        <v>121</v>
      </c>
    </row>
    <row r="108" spans="1:10" ht="26.25" customHeight="1" x14ac:dyDescent="0.4">
      <c r="A108" s="309" t="s">
        <v>122</v>
      </c>
      <c r="B108" s="310">
        <v>10</v>
      </c>
      <c r="C108" s="460">
        <v>1</v>
      </c>
      <c r="D108" s="461">
        <v>4154469</v>
      </c>
      <c r="E108" s="435">
        <f t="shared" ref="E108:E113" si="1">IF(ISBLANK(D108),"-",D108/$D$103*$D$100*$B$116)</f>
        <v>157.68234984530486</v>
      </c>
      <c r="F108" s="462">
        <f t="shared" ref="F108:F113" si="2">IF(ISBLANK(D108), "-", (E108/$B$56)*100)</f>
        <v>98.551468653315538</v>
      </c>
    </row>
    <row r="109" spans="1:10" ht="26.25" customHeight="1" x14ac:dyDescent="0.4">
      <c r="A109" s="309" t="s">
        <v>95</v>
      </c>
      <c r="B109" s="310">
        <v>50</v>
      </c>
      <c r="C109" s="456">
        <v>2</v>
      </c>
      <c r="D109" s="458">
        <v>4156222</v>
      </c>
      <c r="E109" s="436">
        <f t="shared" si="1"/>
        <v>157.74888474044516</v>
      </c>
      <c r="F109" s="463">
        <f t="shared" si="2"/>
        <v>98.593052962778231</v>
      </c>
    </row>
    <row r="110" spans="1:10" ht="26.25" customHeight="1" x14ac:dyDescent="0.4">
      <c r="A110" s="309" t="s">
        <v>96</v>
      </c>
      <c r="B110" s="310">
        <v>1</v>
      </c>
      <c r="C110" s="456">
        <v>3</v>
      </c>
      <c r="D110" s="458">
        <v>4173870</v>
      </c>
      <c r="E110" s="436">
        <f t="shared" si="1"/>
        <v>158.41871236704918</v>
      </c>
      <c r="F110" s="463">
        <f t="shared" si="2"/>
        <v>99.011695229405746</v>
      </c>
    </row>
    <row r="111" spans="1:10" ht="26.25" customHeight="1" x14ac:dyDescent="0.4">
      <c r="A111" s="309" t="s">
        <v>97</v>
      </c>
      <c r="B111" s="310">
        <v>1</v>
      </c>
      <c r="C111" s="456">
        <v>4</v>
      </c>
      <c r="D111" s="458">
        <v>4165992</v>
      </c>
      <c r="E111" s="436">
        <f t="shared" si="1"/>
        <v>158.11970386510072</v>
      </c>
      <c r="F111" s="463">
        <f t="shared" si="2"/>
        <v>98.824814915687952</v>
      </c>
    </row>
    <row r="112" spans="1:10" ht="26.25" customHeight="1" x14ac:dyDescent="0.4">
      <c r="A112" s="309" t="s">
        <v>98</v>
      </c>
      <c r="B112" s="310">
        <v>1</v>
      </c>
      <c r="C112" s="456">
        <v>5</v>
      </c>
      <c r="D112" s="458">
        <v>4190781</v>
      </c>
      <c r="E112" s="436">
        <f t="shared" si="1"/>
        <v>159.06056725108706</v>
      </c>
      <c r="F112" s="463">
        <f t="shared" si="2"/>
        <v>99.412854531929412</v>
      </c>
    </row>
    <row r="113" spans="1:10" ht="27" customHeight="1" x14ac:dyDescent="0.4">
      <c r="A113" s="309" t="s">
        <v>100</v>
      </c>
      <c r="B113" s="310">
        <v>1</v>
      </c>
      <c r="C113" s="457">
        <v>6</v>
      </c>
      <c r="D113" s="459">
        <v>4168639</v>
      </c>
      <c r="E113" s="437">
        <f t="shared" si="1"/>
        <v>158.22017041811642</v>
      </c>
      <c r="F113" s="464">
        <f t="shared" si="2"/>
        <v>98.887606511322772</v>
      </c>
    </row>
    <row r="114" spans="1:10" ht="27" customHeight="1" x14ac:dyDescent="0.4">
      <c r="A114" s="309" t="s">
        <v>101</v>
      </c>
      <c r="B114" s="310">
        <v>1</v>
      </c>
      <c r="C114" s="418"/>
      <c r="D114" s="376"/>
      <c r="E114" s="283"/>
      <c r="F114" s="465"/>
    </row>
    <row r="115" spans="1:10" ht="26.25" customHeight="1" x14ac:dyDescent="0.4">
      <c r="A115" s="309" t="s">
        <v>102</v>
      </c>
      <c r="B115" s="310">
        <v>1</v>
      </c>
      <c r="C115" s="418"/>
      <c r="D115" s="442" t="s">
        <v>71</v>
      </c>
      <c r="E115" s="444">
        <f>AVERAGE(E108:E113)</f>
        <v>158.2083980811839</v>
      </c>
      <c r="F115" s="466">
        <f>AVERAGE(F108:F113)</f>
        <v>98.880248800739949</v>
      </c>
    </row>
    <row r="116" spans="1:10" ht="27" customHeight="1" x14ac:dyDescent="0.4">
      <c r="A116" s="309" t="s">
        <v>103</v>
      </c>
      <c r="B116" s="341">
        <f>(B115/B114)*(B113/B112)*(B111/B110)*(B109/B108)*B107</f>
        <v>4500</v>
      </c>
      <c r="C116" s="419"/>
      <c r="D116" s="443" t="s">
        <v>84</v>
      </c>
      <c r="E116" s="441">
        <f>STDEV(E108:E113)/E115</f>
        <v>3.1809386610715238E-3</v>
      </c>
      <c r="F116" s="420">
        <f>STDEV(F108:F113)/F115</f>
        <v>3.1809386610715021E-3</v>
      </c>
      <c r="I116" s="283"/>
    </row>
    <row r="117" spans="1:10" ht="27" customHeight="1" x14ac:dyDescent="0.4">
      <c r="A117" s="487" t="s">
        <v>78</v>
      </c>
      <c r="B117" s="488"/>
      <c r="C117" s="421"/>
      <c r="D117" s="380" t="s">
        <v>20</v>
      </c>
      <c r="E117" s="446">
        <f>COUNT(E108:E113)</f>
        <v>6</v>
      </c>
      <c r="F117" s="447">
        <f>COUNT(F108:F113)</f>
        <v>6</v>
      </c>
      <c r="I117" s="283"/>
      <c r="J117" s="414"/>
    </row>
    <row r="118" spans="1:10" ht="26.25" customHeight="1" x14ac:dyDescent="0.3">
      <c r="A118" s="489"/>
      <c r="B118" s="490"/>
      <c r="C118" s="283"/>
      <c r="D118" s="445"/>
      <c r="E118" s="515" t="s">
        <v>123</v>
      </c>
      <c r="F118" s="516"/>
      <c r="G118" s="283"/>
      <c r="H118" s="283"/>
      <c r="I118" s="283"/>
    </row>
    <row r="119" spans="1:10" ht="25.5" customHeight="1" x14ac:dyDescent="0.4">
      <c r="A119" s="430"/>
      <c r="B119" s="305"/>
      <c r="C119" s="283"/>
      <c r="D119" s="443" t="s">
        <v>124</v>
      </c>
      <c r="E119" s="448">
        <f>MIN(E108:E113)</f>
        <v>157.68234984530486</v>
      </c>
      <c r="F119" s="467">
        <f>MIN(F108:F113)</f>
        <v>98.551468653315538</v>
      </c>
      <c r="G119" s="283"/>
      <c r="H119" s="283"/>
      <c r="I119" s="283"/>
    </row>
    <row r="120" spans="1:10" ht="24" customHeight="1" x14ac:dyDescent="0.4">
      <c r="A120" s="430"/>
      <c r="B120" s="305"/>
      <c r="C120" s="283"/>
      <c r="D120" s="352" t="s">
        <v>125</v>
      </c>
      <c r="E120" s="449">
        <f>MAX(E108:E113)</f>
        <v>159.06056725108706</v>
      </c>
      <c r="F120" s="468">
        <f>MAX(F108:F113)</f>
        <v>99.412854531929412</v>
      </c>
      <c r="G120" s="283"/>
      <c r="H120" s="283"/>
      <c r="I120" s="283"/>
    </row>
    <row r="121" spans="1:10" ht="27" customHeight="1" x14ac:dyDescent="0.3">
      <c r="A121" s="430"/>
      <c r="B121" s="305"/>
      <c r="C121" s="283"/>
      <c r="D121" s="283"/>
      <c r="E121" s="283"/>
      <c r="F121" s="376"/>
      <c r="G121" s="283"/>
      <c r="H121" s="283"/>
      <c r="I121" s="283"/>
    </row>
    <row r="122" spans="1:10" ht="25.5" customHeight="1" x14ac:dyDescent="0.3">
      <c r="A122" s="430"/>
      <c r="B122" s="305"/>
      <c r="C122" s="283"/>
      <c r="D122" s="283"/>
      <c r="E122" s="283"/>
      <c r="F122" s="376"/>
      <c r="G122" s="283"/>
      <c r="H122" s="283"/>
      <c r="I122" s="283"/>
    </row>
    <row r="123" spans="1:10" ht="18.75" x14ac:dyDescent="0.3">
      <c r="A123" s="430"/>
      <c r="B123" s="305"/>
      <c r="C123" s="283"/>
      <c r="D123" s="283"/>
      <c r="E123" s="283"/>
      <c r="F123" s="376"/>
      <c r="G123" s="283"/>
      <c r="H123" s="283"/>
      <c r="I123" s="283"/>
    </row>
    <row r="124" spans="1:10" ht="45.75" customHeight="1" x14ac:dyDescent="0.65">
      <c r="A124" s="293" t="s">
        <v>106</v>
      </c>
      <c r="B124" s="382" t="s">
        <v>126</v>
      </c>
      <c r="C124" s="491" t="str">
        <f>B26</f>
        <v>Trimethoprim</v>
      </c>
      <c r="D124" s="491"/>
      <c r="E124" s="383" t="s">
        <v>127</v>
      </c>
      <c r="F124" s="383"/>
      <c r="G124" s="469">
        <f>F115</f>
        <v>98.880248800739949</v>
      </c>
      <c r="H124" s="283"/>
      <c r="I124" s="283"/>
    </row>
    <row r="125" spans="1:10" ht="45.75" customHeight="1" x14ac:dyDescent="0.65">
      <c r="A125" s="293"/>
      <c r="B125" s="382" t="s">
        <v>128</v>
      </c>
      <c r="C125" s="294" t="s">
        <v>129</v>
      </c>
      <c r="D125" s="469">
        <f>MIN(F108:F113)</f>
        <v>98.551468653315538</v>
      </c>
      <c r="E125" s="394" t="s">
        <v>130</v>
      </c>
      <c r="F125" s="469">
        <f>MAX(F108:F113)</f>
        <v>99.412854531929412</v>
      </c>
      <c r="G125" s="384"/>
      <c r="H125" s="283"/>
      <c r="I125" s="283"/>
    </row>
    <row r="126" spans="1:10" ht="19.5" customHeight="1" x14ac:dyDescent="0.3">
      <c r="A126" s="422"/>
      <c r="B126" s="422"/>
      <c r="C126" s="423"/>
      <c r="D126" s="423"/>
      <c r="E126" s="423"/>
      <c r="F126" s="423"/>
      <c r="G126" s="423"/>
      <c r="H126" s="423"/>
    </row>
    <row r="127" spans="1:10" ht="18.75" x14ac:dyDescent="0.3">
      <c r="B127" s="492" t="s">
        <v>26</v>
      </c>
      <c r="C127" s="492"/>
      <c r="E127" s="389" t="s">
        <v>27</v>
      </c>
      <c r="F127" s="424"/>
      <c r="G127" s="492" t="s">
        <v>28</v>
      </c>
      <c r="H127" s="492"/>
    </row>
    <row r="128" spans="1:10" ht="69.95" customHeight="1" x14ac:dyDescent="0.3">
      <c r="A128" s="425" t="s">
        <v>29</v>
      </c>
      <c r="B128" s="426"/>
      <c r="C128" s="426"/>
      <c r="E128" s="426"/>
      <c r="F128" s="283"/>
      <c r="G128" s="427"/>
      <c r="H128" s="427"/>
    </row>
    <row r="129" spans="1:9" ht="69.95" customHeight="1" x14ac:dyDescent="0.3">
      <c r="A129" s="425" t="s">
        <v>30</v>
      </c>
      <c r="B129" s="428"/>
      <c r="C129" s="428"/>
      <c r="E129" s="428"/>
      <c r="F129" s="283"/>
      <c r="G129" s="429"/>
      <c r="H129" s="429"/>
    </row>
    <row r="130" spans="1:9" ht="18.75" x14ac:dyDescent="0.3">
      <c r="A130" s="375"/>
      <c r="B130" s="375"/>
      <c r="C130" s="376"/>
      <c r="D130" s="376"/>
      <c r="E130" s="376"/>
      <c r="F130" s="379"/>
      <c r="G130" s="376"/>
      <c r="H130" s="376"/>
      <c r="I130" s="283"/>
    </row>
    <row r="131" spans="1:9" ht="18.75" x14ac:dyDescent="0.3">
      <c r="A131" s="375"/>
      <c r="B131" s="375"/>
      <c r="C131" s="376"/>
      <c r="D131" s="376"/>
      <c r="E131" s="376"/>
      <c r="F131" s="379"/>
      <c r="G131" s="376"/>
      <c r="H131" s="376"/>
      <c r="I131" s="283"/>
    </row>
    <row r="132" spans="1:9" ht="18.75" x14ac:dyDescent="0.3">
      <c r="A132" s="375"/>
      <c r="B132" s="375"/>
      <c r="C132" s="376"/>
      <c r="D132" s="376"/>
      <c r="E132" s="376"/>
      <c r="F132" s="379"/>
      <c r="G132" s="376"/>
      <c r="H132" s="376"/>
      <c r="I132" s="283"/>
    </row>
    <row r="133" spans="1:9" ht="18.75" x14ac:dyDescent="0.3">
      <c r="A133" s="375"/>
      <c r="B133" s="375"/>
      <c r="C133" s="376"/>
      <c r="D133" s="376"/>
      <c r="E133" s="376"/>
      <c r="F133" s="379"/>
      <c r="G133" s="376"/>
      <c r="H133" s="376"/>
      <c r="I133" s="283"/>
    </row>
    <row r="134" spans="1:9" ht="18.75" x14ac:dyDescent="0.3">
      <c r="A134" s="375"/>
      <c r="B134" s="375"/>
      <c r="C134" s="376"/>
      <c r="D134" s="376"/>
      <c r="E134" s="376"/>
      <c r="F134" s="379"/>
      <c r="G134" s="376"/>
      <c r="H134" s="376"/>
      <c r="I134" s="283"/>
    </row>
    <row r="135" spans="1:9" ht="18.75" x14ac:dyDescent="0.3">
      <c r="A135" s="375"/>
      <c r="B135" s="375"/>
      <c r="C135" s="376"/>
      <c r="D135" s="376"/>
      <c r="E135" s="376"/>
      <c r="F135" s="379"/>
      <c r="G135" s="376"/>
      <c r="H135" s="376"/>
      <c r="I135" s="283"/>
    </row>
    <row r="136" spans="1:9" ht="18.75" x14ac:dyDescent="0.3">
      <c r="A136" s="375"/>
      <c r="B136" s="375"/>
      <c r="C136" s="376"/>
      <c r="D136" s="376"/>
      <c r="E136" s="376"/>
      <c r="F136" s="379"/>
      <c r="G136" s="376"/>
      <c r="H136" s="376"/>
      <c r="I136" s="283"/>
    </row>
    <row r="137" spans="1:9" ht="18.75" x14ac:dyDescent="0.3">
      <c r="A137" s="375"/>
      <c r="B137" s="375"/>
      <c r="C137" s="376"/>
      <c r="D137" s="376"/>
      <c r="E137" s="376"/>
      <c r="F137" s="379"/>
      <c r="G137" s="376"/>
      <c r="H137" s="376"/>
      <c r="I137" s="283"/>
    </row>
    <row r="138" spans="1:9" ht="18.75" x14ac:dyDescent="0.3">
      <c r="A138" s="375"/>
      <c r="B138" s="375"/>
      <c r="C138" s="376"/>
      <c r="D138" s="376"/>
      <c r="E138" s="376"/>
      <c r="F138" s="379"/>
      <c r="G138" s="376"/>
      <c r="H138" s="376"/>
      <c r="I138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2016-12-01T08:54:30Z</dcterms:modified>
</cp:coreProperties>
</file>