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42" i="5"/>
  <c r="B32" i="5"/>
  <c r="B31" i="5"/>
  <c r="F30" i="5"/>
  <c r="C30" i="5"/>
  <c r="B30" i="5"/>
  <c r="B21" i="5"/>
  <c r="C124" i="4" l="1"/>
  <c r="B116" i="4"/>
  <c r="D100" i="4" s="1"/>
  <c r="B98" i="4"/>
  <c r="F95" i="4"/>
  <c r="D95" i="4"/>
  <c r="I92" i="4" s="1"/>
  <c r="B87" i="4"/>
  <c r="F97" i="4" s="1"/>
  <c r="B83" i="4"/>
  <c r="C76" i="4"/>
  <c r="B68" i="4"/>
  <c r="B69" i="4" s="1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41" i="2"/>
  <c r="D37" i="2"/>
  <c r="D33" i="2"/>
  <c r="D32" i="2"/>
  <c r="D29" i="2"/>
  <c r="D28" i="2"/>
  <c r="D25" i="2"/>
  <c r="D24" i="2"/>
  <c r="C19" i="2"/>
  <c r="I39" i="4" l="1"/>
  <c r="D49" i="4"/>
  <c r="F45" i="4"/>
  <c r="F46" i="4" s="1"/>
  <c r="I39" i="3"/>
  <c r="D45" i="3"/>
  <c r="D46" i="3" s="1"/>
  <c r="I92" i="3"/>
  <c r="D101" i="3"/>
  <c r="D102" i="3" s="1"/>
  <c r="D101" i="4"/>
  <c r="D102" i="4" s="1"/>
  <c r="F98" i="4"/>
  <c r="F99" i="4" s="1"/>
  <c r="B69" i="3"/>
  <c r="D49" i="3"/>
  <c r="E40" i="3"/>
  <c r="F98" i="3"/>
  <c r="D27" i="2"/>
  <c r="D31" i="2"/>
  <c r="D35" i="2"/>
  <c r="D39" i="2"/>
  <c r="D43" i="2"/>
  <c r="C49" i="2"/>
  <c r="F44" i="3"/>
  <c r="F45" i="3" s="1"/>
  <c r="F46" i="3" s="1"/>
  <c r="D97" i="4"/>
  <c r="D98" i="4" s="1"/>
  <c r="D99" i="4" s="1"/>
  <c r="D36" i="2"/>
  <c r="D40" i="2"/>
  <c r="D49" i="2"/>
  <c r="B57" i="3"/>
  <c r="D44" i="4"/>
  <c r="D45" i="4" s="1"/>
  <c r="C50" i="2"/>
  <c r="D97" i="3"/>
  <c r="D98" i="3" s="1"/>
  <c r="D26" i="2"/>
  <c r="D30" i="2"/>
  <c r="D34" i="2"/>
  <c r="D38" i="2"/>
  <c r="D42" i="2"/>
  <c r="B49" i="2"/>
  <c r="D50" i="2"/>
  <c r="E92" i="3"/>
  <c r="G93" i="3"/>
  <c r="G38" i="4" l="1"/>
  <c r="G39" i="4"/>
  <c r="G41" i="4"/>
  <c r="G40" i="4"/>
  <c r="E39" i="3"/>
  <c r="E41" i="3"/>
  <c r="E38" i="3"/>
  <c r="G41" i="3"/>
  <c r="G40" i="3"/>
  <c r="G93" i="4"/>
  <c r="G92" i="4"/>
  <c r="E91" i="4"/>
  <c r="E41" i="4"/>
  <c r="D46" i="4"/>
  <c r="E39" i="4"/>
  <c r="E40" i="4"/>
  <c r="E38" i="4"/>
  <c r="G39" i="3"/>
  <c r="G38" i="3"/>
  <c r="G91" i="4"/>
  <c r="G94" i="4"/>
  <c r="G91" i="3"/>
  <c r="G94" i="3"/>
  <c r="F99" i="3"/>
  <c r="G92" i="3"/>
  <c r="E93" i="4"/>
  <c r="D99" i="3"/>
  <c r="E93" i="3"/>
  <c r="E91" i="3"/>
  <c r="E94" i="3"/>
  <c r="E92" i="4"/>
  <c r="E94" i="4"/>
  <c r="G42" i="4" l="1"/>
  <c r="D52" i="3"/>
  <c r="D50" i="3"/>
  <c r="G66" i="3" s="1"/>
  <c r="H66" i="3" s="1"/>
  <c r="E42" i="3"/>
  <c r="G42" i="3"/>
  <c r="G95" i="3"/>
  <c r="G95" i="4"/>
  <c r="E95" i="3"/>
  <c r="D105" i="3"/>
  <c r="D103" i="3"/>
  <c r="D50" i="4"/>
  <c r="E42" i="4"/>
  <c r="D52" i="4"/>
  <c r="G65" i="3"/>
  <c r="H65" i="3" s="1"/>
  <c r="D103" i="4"/>
  <c r="E95" i="4"/>
  <c r="D105" i="4"/>
  <c r="D51" i="3" l="1"/>
  <c r="G60" i="3"/>
  <c r="H60" i="3" s="1"/>
  <c r="G63" i="3"/>
  <c r="H63" i="3" s="1"/>
  <c r="G69" i="3"/>
  <c r="H69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G68" i="3"/>
  <c r="H68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2" i="3" l="1"/>
  <c r="G73" i="3" s="1"/>
  <c r="G74" i="3"/>
  <c r="E115" i="3"/>
  <c r="E116" i="3" s="1"/>
  <c r="E119" i="3"/>
  <c r="E120" i="3"/>
  <c r="E117" i="3"/>
  <c r="F108" i="3"/>
  <c r="E120" i="4"/>
  <c r="E117" i="4"/>
  <c r="F108" i="4"/>
  <c r="E115" i="4"/>
  <c r="E116" i="4" s="1"/>
  <c r="E119" i="4"/>
  <c r="H74" i="3"/>
  <c r="H72" i="3"/>
  <c r="G74" i="4"/>
  <c r="G72" i="4"/>
  <c r="G73" i="4" s="1"/>
  <c r="H60" i="4"/>
  <c r="G76" i="3" l="1"/>
  <c r="H73" i="3"/>
  <c r="F125" i="4"/>
  <c r="F120" i="4"/>
  <c r="F117" i="4"/>
  <c r="D125" i="4"/>
  <c r="F115" i="4"/>
  <c r="F119" i="4"/>
  <c r="H74" i="4"/>
  <c r="H72" i="4"/>
  <c r="F119" i="3"/>
  <c r="F125" i="3"/>
  <c r="F120" i="3"/>
  <c r="F117" i="3"/>
  <c r="D125" i="3"/>
  <c r="F115" i="3"/>
  <c r="G124" i="3" l="1"/>
  <c r="F116" i="3"/>
  <c r="G76" i="4"/>
  <c r="H73" i="4"/>
  <c r="G124" i="4"/>
  <c r="F116" i="4"/>
</calcChain>
</file>

<file path=xl/sharedStrings.xml><?xml version="1.0" encoding="utf-8"?>
<sst xmlns="http://schemas.openxmlformats.org/spreadsheetml/2006/main" count="458" uniqueCount="143">
  <si>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</si>
  <si>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</si>
  <si>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</si>
  <si>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</si>
  <si>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</si>
  <si>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</si>
  <si>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</si>
  <si>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NDQB201610158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</si>
  <si>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</si>
  <si>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</si>
  <si>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</si>
  <si>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</si>
  <si>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2016-10-12 07:31:36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</si>
  <si>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</si>
  <si>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</si>
  <si>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</si>
  <si>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</si>
  <si>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</si>
  <si>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</si>
  <si>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</si>
  <si>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</si>
  <si>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</si>
  <si>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</si>
  <si>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</si>
  <si>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</si>
  <si>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</si>
  <si>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</si>
  <si>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</si>
  <si>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</si>
  <si>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</si>
  <si>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</si>
  <si>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</si>
  <si>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</si>
  <si>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</si>
  <si>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</si>
  <si>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</si>
  <si>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</si>
  <si>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</si>
  <si>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</si>
  <si>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</si>
  <si>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</si>
  <si>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</si>
  <si>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</si>
  <si>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</si>
  <si>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</si>
  <si>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</si>
  <si>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</si>
  <si>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</si>
  <si>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</si>
  <si>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</si>
  <si>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</si>
  <si>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</si>
  <si>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</si>
  <si>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</si>
  <si>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</si>
  <si>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</si>
  <si>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</si>
  <si>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</si>
  <si>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</si>
  <si>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</si>
  <si>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</si>
  <si>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</si>
  <si>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</si>
  <si>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</si>
  <si>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</si>
  <si>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</si>
  <si>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</si>
  <si>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</si>
  <si>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</si>
  <si>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</si>
  <si>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</si>
  <si>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</si>
  <si>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</si>
  <si>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</si>
  <si>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</si>
  <si>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</si>
  <si>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</si>
  <si>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</si>
  <si>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</si>
  <si>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</si>
  <si>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</si>
  <si>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</si>
  <si>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</si>
  <si>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</si>
  <si>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</si>
  <si>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</si>
  <si>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</si>
  <si>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</si>
  <si>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</si>
  <si>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</si>
  <si>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</si>
  <si>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</si>
  <si>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</si>
  <si>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</si>
  <si>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</si>
  <si>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</si>
  <si>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</si>
  <si>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</si>
  <si>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</si>
  <si>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</si>
  <si>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</si>
  <si>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</si>
  <si>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</si>
  <si>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</si>
  <si>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</si>
  <si>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</si>
  <si>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</si>
  <si>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</si>
  <si>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</si>
  <si>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</si>
  <si>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</si>
  <si>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</si>
  <si>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</si>
  <si>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</si>
  <si>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</si>
  <si>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</si>
  <si>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</si>
  <si>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</si>
  <si>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</si>
  <si>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</si>
  <si>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</si>
  <si>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</si>
  <si>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</si>
  <si>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</si>
  <si>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</si>
  <si>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</si>
  <si>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</si>
  <si>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</si>
  <si>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</si>
  <si>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</si>
  <si>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</si>
  <si>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</si>
  <si>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T7-4</t>
  </si>
  <si>
    <t>NDQE201607046</t>
  </si>
  <si>
    <t xml:space="preserve"> Trimethoprim </t>
  </si>
  <si>
    <t xml:space="preserve">Sulfamethoxazole </t>
  </si>
  <si>
    <t>Sulfamethoxazole Raw Material</t>
  </si>
  <si>
    <t>Each tablet contains: Sulphamethoxazole B.P. 800 mg and Trimethoprim B.P. 160 mg.</t>
  </si>
  <si>
    <t>SULFRAN - DS  TABLETS</t>
  </si>
  <si>
    <t>Sulfamethoxazole</t>
  </si>
  <si>
    <t>Resolution(USP)</t>
  </si>
  <si>
    <t>RUTTO KENNEDY</t>
  </si>
  <si>
    <t>Resolution between Sulfamethoxazole and Trimethoprim is NLT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</si>
</sst>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176" fontId="7" fillId="3" borderId="3" xfId="2" applyNumberFormat="1" applyFont="1" applyFill="1" applyBorder="1" applyAlignment="1" applyProtection="1">
      <alignment horizontal="center"/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4" workbookViewId="0">
      <selection activeCell="B58" sqref="B58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27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515" t="s">
        <v>0</v>
      </c>
      <c r="B15" s="515"/>
      <c r="C15" s="515"/>
      <c r="D15" s="515"/>
      <c r="E15" s="515"/>
      <c r="F15" s="515"/>
    </row>
    <row r="16" spans="1:7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138</v>
      </c>
      <c r="D17" s="431"/>
      <c r="E17" s="431"/>
      <c r="F17" s="432"/>
    </row>
    <row r="18" spans="1:6" ht="16.5" customHeight="1" x14ac:dyDescent="0.3">
      <c r="A18" s="433" t="s">
        <v>4</v>
      </c>
      <c r="B18" s="434" t="s">
        <v>139</v>
      </c>
      <c r="C18" s="432"/>
      <c r="D18" s="432"/>
      <c r="E18" s="432"/>
      <c r="F18" s="432"/>
    </row>
    <row r="19" spans="1:6" ht="16.5" customHeight="1" x14ac:dyDescent="0.3">
      <c r="A19" s="433" t="s">
        <v>6</v>
      </c>
      <c r="B19" s="434">
        <v>99.28</v>
      </c>
      <c r="C19" s="432"/>
      <c r="D19" s="432"/>
      <c r="E19" s="432"/>
      <c r="F19" s="432"/>
    </row>
    <row r="20" spans="1:6" ht="16.5" customHeight="1" x14ac:dyDescent="0.3">
      <c r="A20" s="430" t="s">
        <v>8</v>
      </c>
      <c r="B20" s="434">
        <v>15.72</v>
      </c>
      <c r="C20" s="432"/>
      <c r="D20" s="432"/>
      <c r="E20" s="432"/>
      <c r="F20" s="432"/>
    </row>
    <row r="21" spans="1:6" ht="16.5" customHeight="1" x14ac:dyDescent="0.3">
      <c r="A21" s="430" t="s">
        <v>10</v>
      </c>
      <c r="B21" s="435">
        <f>15.72/100</f>
        <v>0.15720000000000001</v>
      </c>
      <c r="C21" s="432"/>
      <c r="D21" s="432"/>
      <c r="E21" s="432"/>
      <c r="F21" s="432"/>
    </row>
    <row r="22" spans="1:6" ht="15.75" customHeight="1" x14ac:dyDescent="0.25">
      <c r="A22" s="432"/>
      <c r="B22" s="432"/>
      <c r="C22" s="432"/>
      <c r="D22" s="432"/>
      <c r="E22" s="432"/>
      <c r="F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140</v>
      </c>
      <c r="F23" s="436" t="s">
        <v>17</v>
      </c>
    </row>
    <row r="24" spans="1:6" ht="16.5" customHeight="1" x14ac:dyDescent="0.3">
      <c r="A24" s="438">
        <v>1</v>
      </c>
      <c r="B24" s="439">
        <v>49982470</v>
      </c>
      <c r="C24" s="439">
        <v>8692.7999999999993</v>
      </c>
      <c r="D24" s="440">
        <v>1</v>
      </c>
      <c r="E24" s="440">
        <v>11.8</v>
      </c>
      <c r="F24" s="441">
        <v>6.5</v>
      </c>
    </row>
    <row r="25" spans="1:6" ht="16.5" customHeight="1" x14ac:dyDescent="0.3">
      <c r="A25" s="438">
        <v>2</v>
      </c>
      <c r="B25" s="439">
        <v>50074022</v>
      </c>
      <c r="C25" s="439">
        <v>8661.6</v>
      </c>
      <c r="D25" s="440">
        <v>1</v>
      </c>
      <c r="E25" s="440">
        <v>11.9</v>
      </c>
      <c r="F25" s="440">
        <v>6.5</v>
      </c>
    </row>
    <row r="26" spans="1:6" ht="16.5" customHeight="1" x14ac:dyDescent="0.3">
      <c r="A26" s="438">
        <v>3</v>
      </c>
      <c r="B26" s="439">
        <v>49823713</v>
      </c>
      <c r="C26" s="439">
        <v>8691.2000000000007</v>
      </c>
      <c r="D26" s="440">
        <v>1</v>
      </c>
      <c r="E26" s="440">
        <v>11.9</v>
      </c>
      <c r="F26" s="440">
        <v>6.5</v>
      </c>
    </row>
    <row r="27" spans="1:6" ht="16.5" customHeight="1" x14ac:dyDescent="0.3">
      <c r="A27" s="438">
        <v>4</v>
      </c>
      <c r="B27" s="439">
        <v>50027347</v>
      </c>
      <c r="C27" s="439">
        <v>8709.5</v>
      </c>
      <c r="D27" s="440">
        <v>1</v>
      </c>
      <c r="E27" s="440">
        <v>11.9</v>
      </c>
      <c r="F27" s="440">
        <v>6.5</v>
      </c>
    </row>
    <row r="28" spans="1:6" ht="16.5" customHeight="1" x14ac:dyDescent="0.3">
      <c r="A28" s="438">
        <v>5</v>
      </c>
      <c r="B28" s="439">
        <v>50005695</v>
      </c>
      <c r="C28" s="439">
        <v>8694.9</v>
      </c>
      <c r="D28" s="440">
        <v>1</v>
      </c>
      <c r="E28" s="440">
        <v>11.9</v>
      </c>
      <c r="F28" s="440">
        <v>6.5</v>
      </c>
    </row>
    <row r="29" spans="1:6" ht="16.5" customHeight="1" x14ac:dyDescent="0.3">
      <c r="A29" s="438">
        <v>6</v>
      </c>
      <c r="B29" s="442">
        <v>50024148</v>
      </c>
      <c r="C29" s="442">
        <v>8691.6</v>
      </c>
      <c r="D29" s="443">
        <v>1</v>
      </c>
      <c r="E29" s="443">
        <v>11.9</v>
      </c>
      <c r="F29" s="443">
        <v>6.5</v>
      </c>
    </row>
    <row r="30" spans="1:6" ht="16.5" customHeight="1" x14ac:dyDescent="0.3">
      <c r="A30" s="444" t="s">
        <v>18</v>
      </c>
      <c r="B30" s="445">
        <f>AVERAGE(B24:B29)</f>
        <v>49989565.833333336</v>
      </c>
      <c r="C30" s="446">
        <f>AVERAGE(C24:C29)</f>
        <v>8690.2666666666682</v>
      </c>
      <c r="D30" s="447">
        <v>1</v>
      </c>
      <c r="E30" s="447">
        <v>11.9</v>
      </c>
      <c r="F30" s="447">
        <f>AVERAGE(F24:F29)</f>
        <v>6.5</v>
      </c>
    </row>
    <row r="31" spans="1:6" ht="16.5" customHeight="1" x14ac:dyDescent="0.3">
      <c r="A31" s="448" t="s">
        <v>19</v>
      </c>
      <c r="B31" s="449">
        <f>(STDEV(B24:B29)/B30)</f>
        <v>1.7341173448102039E-3</v>
      </c>
      <c r="C31" s="450"/>
      <c r="D31" s="450"/>
      <c r="E31" s="450"/>
      <c r="F31" s="451"/>
    </row>
    <row r="32" spans="1:6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5" customFormat="1" ht="15.75" customHeight="1" x14ac:dyDescent="0.25">
      <c r="A33" s="432"/>
      <c r="B33" s="432"/>
      <c r="C33" s="432"/>
      <c r="D33" s="432"/>
      <c r="E33" s="432"/>
      <c r="F33" s="432"/>
    </row>
    <row r="34" spans="1:6" s="425" customFormat="1" ht="16.5" customHeight="1" x14ac:dyDescent="0.3">
      <c r="A34" s="433" t="s">
        <v>21</v>
      </c>
      <c r="B34" s="457" t="s">
        <v>22</v>
      </c>
      <c r="C34" s="458"/>
      <c r="D34" s="458"/>
      <c r="E34" s="458"/>
      <c r="F34" s="458"/>
    </row>
    <row r="35" spans="1:6" ht="16.5" customHeight="1" x14ac:dyDescent="0.3">
      <c r="A35" s="433"/>
      <c r="B35" s="457" t="s">
        <v>23</v>
      </c>
      <c r="C35" s="458"/>
      <c r="D35" s="458"/>
      <c r="E35" s="458"/>
      <c r="F35" s="458"/>
    </row>
    <row r="36" spans="1:6" ht="16.5" customHeight="1" x14ac:dyDescent="0.3">
      <c r="A36" s="433"/>
      <c r="B36" s="457" t="s">
        <v>24</v>
      </c>
      <c r="C36" s="458"/>
      <c r="D36" s="458"/>
      <c r="E36" s="458"/>
      <c r="F36" s="458"/>
    </row>
    <row r="37" spans="1:6" ht="15.75" customHeight="1" x14ac:dyDescent="0.25">
      <c r="A37" s="432"/>
      <c r="B37" s="24" t="s">
        <v>142</v>
      </c>
      <c r="C37" s="432"/>
      <c r="D37" s="432"/>
      <c r="E37" s="432"/>
      <c r="F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 t="s">
        <v>139</v>
      </c>
      <c r="C39" s="432"/>
      <c r="D39" s="432"/>
      <c r="E39" s="432"/>
      <c r="F39" s="432"/>
    </row>
    <row r="40" spans="1:6" ht="16.5" customHeight="1" x14ac:dyDescent="0.3">
      <c r="A40" s="433" t="s">
        <v>6</v>
      </c>
      <c r="B40" s="434">
        <v>99.28</v>
      </c>
      <c r="C40" s="432"/>
      <c r="D40" s="432"/>
      <c r="E40" s="432"/>
      <c r="F40" s="432"/>
    </row>
    <row r="41" spans="1:6" ht="16.5" customHeight="1" x14ac:dyDescent="0.3">
      <c r="A41" s="430" t="s">
        <v>8</v>
      </c>
      <c r="B41" s="434">
        <v>16</v>
      </c>
      <c r="C41" s="432"/>
      <c r="D41" s="432"/>
      <c r="E41" s="432"/>
      <c r="F41" s="432"/>
    </row>
    <row r="42" spans="1:6" ht="16.5" customHeight="1" x14ac:dyDescent="0.3">
      <c r="A42" s="430" t="s">
        <v>10</v>
      </c>
      <c r="B42" s="435">
        <f>16/100</f>
        <v>0.16</v>
      </c>
      <c r="C42" s="432"/>
      <c r="D42" s="432"/>
      <c r="E42" s="432"/>
      <c r="F42" s="432"/>
    </row>
    <row r="43" spans="1:6" ht="15.75" customHeight="1" x14ac:dyDescent="0.25">
      <c r="A43" s="432"/>
      <c r="B43" s="432"/>
      <c r="C43" s="432"/>
      <c r="D43" s="432"/>
      <c r="E43" s="432"/>
      <c r="F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 t="s">
        <v>140</v>
      </c>
      <c r="F44" s="436" t="s">
        <v>17</v>
      </c>
    </row>
    <row r="45" spans="1:6" ht="16.5" customHeight="1" x14ac:dyDescent="0.3">
      <c r="A45" s="438">
        <v>1</v>
      </c>
      <c r="B45" s="439">
        <v>52944919</v>
      </c>
      <c r="C45" s="439">
        <v>10217</v>
      </c>
      <c r="D45" s="440">
        <v>0.9</v>
      </c>
      <c r="E45" s="440">
        <v>14.8</v>
      </c>
      <c r="F45" s="441">
        <v>6</v>
      </c>
    </row>
    <row r="46" spans="1:6" ht="16.5" customHeight="1" x14ac:dyDescent="0.3">
      <c r="A46" s="438">
        <v>2</v>
      </c>
      <c r="B46" s="439">
        <v>53136520</v>
      </c>
      <c r="C46" s="439">
        <v>10192.299999999999</v>
      </c>
      <c r="D46" s="440">
        <v>0.9</v>
      </c>
      <c r="E46" s="440">
        <v>14.8</v>
      </c>
      <c r="F46" s="440">
        <v>6</v>
      </c>
    </row>
    <row r="47" spans="1:6" ht="16.5" customHeight="1" x14ac:dyDescent="0.3">
      <c r="A47" s="438">
        <v>3</v>
      </c>
      <c r="B47" s="439">
        <v>53090949</v>
      </c>
      <c r="C47" s="439">
        <v>10241.9</v>
      </c>
      <c r="D47" s="440">
        <v>0.9</v>
      </c>
      <c r="E47" s="440">
        <v>14.8</v>
      </c>
      <c r="F47" s="440">
        <v>6</v>
      </c>
    </row>
    <row r="48" spans="1:6" ht="16.5" customHeight="1" x14ac:dyDescent="0.3">
      <c r="A48" s="438">
        <v>4</v>
      </c>
      <c r="B48" s="439">
        <v>53168860</v>
      </c>
      <c r="C48" s="439">
        <v>10243.1</v>
      </c>
      <c r="D48" s="440">
        <v>0.9</v>
      </c>
      <c r="E48" s="440">
        <v>14.8</v>
      </c>
      <c r="F48" s="440">
        <v>6</v>
      </c>
    </row>
    <row r="49" spans="1:8" ht="16.5" customHeight="1" x14ac:dyDescent="0.3">
      <c r="A49" s="438">
        <v>5</v>
      </c>
      <c r="B49" s="439">
        <v>53187978</v>
      </c>
      <c r="C49" s="439">
        <v>10221.9</v>
      </c>
      <c r="D49" s="440">
        <v>0.9</v>
      </c>
      <c r="E49" s="440">
        <v>14.8</v>
      </c>
      <c r="F49" s="440">
        <v>6</v>
      </c>
    </row>
    <row r="50" spans="1:8" ht="16.5" customHeight="1" x14ac:dyDescent="0.3">
      <c r="A50" s="438">
        <v>6</v>
      </c>
      <c r="B50" s="442">
        <v>52860956</v>
      </c>
      <c r="C50" s="442">
        <v>10219.4</v>
      </c>
      <c r="D50" s="443">
        <v>0.9</v>
      </c>
      <c r="E50" s="443">
        <v>14.8</v>
      </c>
      <c r="F50" s="443">
        <v>6</v>
      </c>
    </row>
    <row r="51" spans="1:8" ht="16.5" customHeight="1" x14ac:dyDescent="0.3">
      <c r="A51" s="444" t="s">
        <v>18</v>
      </c>
      <c r="B51" s="445">
        <f>AVERAGE(B45:B50)</f>
        <v>53065030.333333336</v>
      </c>
      <c r="C51" s="446">
        <f>AVERAGE(C45:C50)</f>
        <v>10222.6</v>
      </c>
      <c r="D51" s="447">
        <f>AVERAGE(D45:D50)</f>
        <v>0.9</v>
      </c>
      <c r="E51" s="447">
        <v>14.8</v>
      </c>
      <c r="F51" s="447">
        <f>AVERAGE(F45:F50)</f>
        <v>6</v>
      </c>
    </row>
    <row r="52" spans="1:8" ht="16.5" customHeight="1" x14ac:dyDescent="0.3">
      <c r="A52" s="448" t="s">
        <v>19</v>
      </c>
      <c r="B52" s="449">
        <f>(STDEV(B45:B50)/B51)</f>
        <v>2.4965251422415569E-3</v>
      </c>
      <c r="C52" s="450"/>
      <c r="D52" s="450"/>
      <c r="E52" s="450"/>
      <c r="F52" s="451"/>
    </row>
    <row r="53" spans="1:8" s="425" customFormat="1" ht="16.5" customHeight="1" x14ac:dyDescent="0.3">
      <c r="A53" s="452" t="s">
        <v>20</v>
      </c>
      <c r="B53" s="453">
        <f>COUNT(B45:B50)</f>
        <v>6</v>
      </c>
      <c r="C53" s="454"/>
      <c r="D53" s="455"/>
      <c r="E53" s="455"/>
      <c r="F53" s="456"/>
    </row>
    <row r="54" spans="1:8" s="425" customFormat="1" ht="15.75" customHeight="1" x14ac:dyDescent="0.25">
      <c r="A54" s="432"/>
      <c r="B54" s="432"/>
      <c r="C54" s="432"/>
      <c r="D54" s="432"/>
      <c r="E54" s="432"/>
      <c r="F54" s="432"/>
    </row>
    <row r="55" spans="1:8" s="425" customFormat="1" ht="16.5" customHeight="1" x14ac:dyDescent="0.3">
      <c r="A55" s="433" t="s">
        <v>21</v>
      </c>
      <c r="B55" s="457" t="s">
        <v>22</v>
      </c>
      <c r="C55" s="458"/>
      <c r="D55" s="458"/>
      <c r="E55" s="458"/>
      <c r="F55" s="458"/>
    </row>
    <row r="56" spans="1:8" ht="16.5" customHeight="1" x14ac:dyDescent="0.3">
      <c r="A56" s="433"/>
      <c r="B56" s="457" t="s">
        <v>23</v>
      </c>
      <c r="C56" s="458"/>
      <c r="D56" s="458"/>
      <c r="E56" s="458"/>
      <c r="F56" s="458"/>
    </row>
    <row r="57" spans="1:8" ht="16.5" customHeight="1" x14ac:dyDescent="0.3">
      <c r="A57" s="433"/>
      <c r="B57" s="457" t="s">
        <v>24</v>
      </c>
      <c r="C57" s="458"/>
      <c r="D57" s="458"/>
      <c r="E57" s="458"/>
      <c r="F57" s="458"/>
    </row>
    <row r="58" spans="1:8" ht="14.25" customHeight="1" thickBot="1" x14ac:dyDescent="0.3">
      <c r="A58" s="459"/>
      <c r="B58" s="24" t="s">
        <v>142</v>
      </c>
      <c r="D58" s="460"/>
      <c r="E58" s="461"/>
      <c r="G58" s="427"/>
      <c r="H58" s="427"/>
    </row>
    <row r="59" spans="1:8" ht="15" customHeight="1" x14ac:dyDescent="0.3">
      <c r="B59" s="516" t="s">
        <v>26</v>
      </c>
      <c r="C59" s="516"/>
      <c r="F59" s="462" t="s">
        <v>27</v>
      </c>
      <c r="G59" s="463"/>
      <c r="H59" s="462" t="s">
        <v>28</v>
      </c>
    </row>
    <row r="60" spans="1:8" ht="15" customHeight="1" x14ac:dyDescent="0.3">
      <c r="A60" s="464" t="s">
        <v>29</v>
      </c>
      <c r="B60" s="465" t="s">
        <v>141</v>
      </c>
      <c r="C60" s="465"/>
      <c r="F60" s="466">
        <v>42381</v>
      </c>
      <c r="H60" s="465"/>
    </row>
    <row r="61" spans="1:8" ht="15" customHeight="1" x14ac:dyDescent="0.3">
      <c r="A61" s="464" t="s">
        <v>30</v>
      </c>
      <c r="B61" s="467"/>
      <c r="C61" s="467"/>
      <c r="F61" s="467"/>
      <c r="H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5" workbookViewId="0">
      <selection activeCell="E51" sqref="E51"/>
    </sheetView>
  </sheetViews>
  <sheetFormatPr defaultRowHeight="13.5" x14ac:dyDescent="0.25"/>
  <cols>
    <col min="1" max="1" width="27.5703125" style="470" customWidth="1"/>
    <col min="2" max="2" width="20.42578125" style="470" customWidth="1"/>
    <col min="3" max="3" width="31.85546875" style="470" customWidth="1"/>
    <col min="4" max="4" width="25.85546875" style="470" customWidth="1"/>
    <col min="5" max="5" width="25.7109375" style="470" customWidth="1"/>
    <col min="6" max="6" width="23.140625" style="470" customWidth="1"/>
    <col min="7" max="7" width="28.42578125" style="470" customWidth="1"/>
    <col min="8" max="8" width="21.5703125" style="470" customWidth="1"/>
    <col min="9" max="9" width="9.140625" style="470" customWidth="1"/>
    <col min="10" max="16384" width="9.140625" style="507"/>
  </cols>
  <sheetData>
    <row r="14" spans="1:6" ht="15" customHeight="1" x14ac:dyDescent="0.3">
      <c r="A14" s="469"/>
      <c r="C14" s="471"/>
      <c r="F14" s="471"/>
    </row>
    <row r="15" spans="1:6" ht="18.75" customHeight="1" x14ac:dyDescent="0.3">
      <c r="A15" s="517" t="s">
        <v>0</v>
      </c>
      <c r="B15" s="517"/>
      <c r="C15" s="517"/>
      <c r="D15" s="517"/>
      <c r="E15" s="517"/>
    </row>
    <row r="16" spans="1:6" ht="16.5" customHeight="1" x14ac:dyDescent="0.3">
      <c r="A16" s="472" t="s">
        <v>1</v>
      </c>
      <c r="B16" s="473" t="s">
        <v>2</v>
      </c>
    </row>
    <row r="17" spans="1:5" ht="16.5" customHeight="1" x14ac:dyDescent="0.3">
      <c r="A17" s="474" t="s">
        <v>3</v>
      </c>
      <c r="B17" s="474" t="s">
        <v>138</v>
      </c>
      <c r="D17" s="475"/>
      <c r="E17" s="476"/>
    </row>
    <row r="18" spans="1:5" ht="16.5" customHeight="1" x14ac:dyDescent="0.3">
      <c r="A18" s="477" t="s">
        <v>4</v>
      </c>
      <c r="B18" s="478" t="s">
        <v>131</v>
      </c>
      <c r="C18" s="476"/>
      <c r="D18" s="476"/>
      <c r="E18" s="476"/>
    </row>
    <row r="19" spans="1:5" ht="16.5" customHeight="1" x14ac:dyDescent="0.3">
      <c r="A19" s="477" t="s">
        <v>6</v>
      </c>
      <c r="B19" s="478">
        <v>99.3</v>
      </c>
      <c r="C19" s="476"/>
      <c r="D19" s="476"/>
      <c r="E19" s="476"/>
    </row>
    <row r="20" spans="1:5" ht="16.5" customHeight="1" x14ac:dyDescent="0.3">
      <c r="A20" s="474" t="s">
        <v>8</v>
      </c>
      <c r="B20" s="478">
        <v>18.61</v>
      </c>
      <c r="C20" s="476"/>
      <c r="D20" s="476"/>
      <c r="E20" s="476"/>
    </row>
    <row r="21" spans="1:5" ht="16.5" customHeight="1" x14ac:dyDescent="0.3">
      <c r="A21" s="474" t="s">
        <v>10</v>
      </c>
      <c r="B21" s="479">
        <f>18.61/25*4/100</f>
        <v>2.9775999999999997E-2</v>
      </c>
      <c r="C21" s="476"/>
      <c r="D21" s="476"/>
      <c r="E21" s="476"/>
    </row>
    <row r="22" spans="1:5" ht="15.75" customHeight="1" x14ac:dyDescent="0.25">
      <c r="A22" s="476"/>
      <c r="B22" s="476"/>
      <c r="C22" s="476"/>
      <c r="D22" s="476"/>
      <c r="E22" s="476"/>
    </row>
    <row r="23" spans="1:5" ht="16.5" customHeight="1" x14ac:dyDescent="0.3">
      <c r="A23" s="480" t="s">
        <v>13</v>
      </c>
      <c r="B23" s="481" t="s">
        <v>14</v>
      </c>
      <c r="C23" s="480" t="s">
        <v>15</v>
      </c>
      <c r="D23" s="480" t="s">
        <v>16</v>
      </c>
      <c r="E23" s="480" t="s">
        <v>17</v>
      </c>
    </row>
    <row r="24" spans="1:5" ht="16.5" customHeight="1" x14ac:dyDescent="0.3">
      <c r="A24" s="482">
        <v>1</v>
      </c>
      <c r="B24" s="483">
        <v>3519753</v>
      </c>
      <c r="C24" s="483">
        <v>8692.7999999999993</v>
      </c>
      <c r="D24" s="484">
        <v>1.5</v>
      </c>
      <c r="E24" s="485">
        <v>3.6</v>
      </c>
    </row>
    <row r="25" spans="1:5" ht="16.5" customHeight="1" x14ac:dyDescent="0.3">
      <c r="A25" s="482">
        <v>2</v>
      </c>
      <c r="B25" s="483">
        <v>3525724</v>
      </c>
      <c r="C25" s="483">
        <v>8661.6</v>
      </c>
      <c r="D25" s="484">
        <v>1.5</v>
      </c>
      <c r="E25" s="484">
        <v>3.6</v>
      </c>
    </row>
    <row r="26" spans="1:5" ht="16.5" customHeight="1" x14ac:dyDescent="0.3">
      <c r="A26" s="482">
        <v>3</v>
      </c>
      <c r="B26" s="483">
        <v>3505315</v>
      </c>
      <c r="C26" s="483">
        <v>8691.2000000000007</v>
      </c>
      <c r="D26" s="484">
        <v>1.5</v>
      </c>
      <c r="E26" s="484">
        <v>3.6</v>
      </c>
    </row>
    <row r="27" spans="1:5" ht="16.5" customHeight="1" x14ac:dyDescent="0.3">
      <c r="A27" s="482">
        <v>4</v>
      </c>
      <c r="B27" s="483">
        <v>3517605</v>
      </c>
      <c r="C27" s="483">
        <v>8709.5</v>
      </c>
      <c r="D27" s="484">
        <v>1.4</v>
      </c>
      <c r="E27" s="484">
        <v>3.6</v>
      </c>
    </row>
    <row r="28" spans="1:5" ht="16.5" customHeight="1" x14ac:dyDescent="0.3">
      <c r="A28" s="482">
        <v>5</v>
      </c>
      <c r="B28" s="483">
        <v>3516256</v>
      </c>
      <c r="C28" s="483">
        <v>8694.9</v>
      </c>
      <c r="D28" s="484">
        <v>1.4</v>
      </c>
      <c r="E28" s="484">
        <v>3.6</v>
      </c>
    </row>
    <row r="29" spans="1:5" ht="16.5" customHeight="1" x14ac:dyDescent="0.3">
      <c r="A29" s="482">
        <v>6</v>
      </c>
      <c r="B29" s="486">
        <v>3518021</v>
      </c>
      <c r="C29" s="486">
        <v>8691.6</v>
      </c>
      <c r="D29" s="487">
        <v>1.5</v>
      </c>
      <c r="E29" s="487">
        <v>3.6</v>
      </c>
    </row>
    <row r="30" spans="1:5" ht="16.5" customHeight="1" x14ac:dyDescent="0.3">
      <c r="A30" s="488" t="s">
        <v>18</v>
      </c>
      <c r="B30" s="489">
        <f>AVERAGE(B24:B29)</f>
        <v>3517112.3333333335</v>
      </c>
      <c r="C30" s="490">
        <f>AVERAGE(C24:C29)</f>
        <v>8690.2666666666682</v>
      </c>
      <c r="D30" s="491">
        <f>AVERAGE(D24:D29)</f>
        <v>1.4666666666666668</v>
      </c>
      <c r="E30" s="491">
        <f>AVERAGE(E24:E29)</f>
        <v>3.6</v>
      </c>
    </row>
    <row r="31" spans="1:5" ht="16.5" customHeight="1" x14ac:dyDescent="0.3">
      <c r="A31" s="492" t="s">
        <v>19</v>
      </c>
      <c r="B31" s="493">
        <f>(STDEV(B24:B29)/B30)</f>
        <v>1.8950272238096564E-3</v>
      </c>
      <c r="C31" s="494"/>
      <c r="D31" s="494"/>
      <c r="E31" s="495"/>
    </row>
    <row r="32" spans="1:5" s="470" customFormat="1" ht="16.5" customHeight="1" x14ac:dyDescent="0.3">
      <c r="A32" s="496" t="s">
        <v>20</v>
      </c>
      <c r="B32" s="497">
        <f>COUNT(B24:B29)</f>
        <v>6</v>
      </c>
      <c r="C32" s="498"/>
      <c r="D32" s="499"/>
      <c r="E32" s="500"/>
    </row>
    <row r="33" spans="1:5" s="470" customFormat="1" ht="15.75" customHeight="1" x14ac:dyDescent="0.25">
      <c r="A33" s="476"/>
      <c r="B33" s="476"/>
      <c r="C33" s="476"/>
      <c r="D33" s="476"/>
      <c r="E33" s="476"/>
    </row>
    <row r="34" spans="1:5" s="470" customFormat="1" ht="16.5" customHeight="1" x14ac:dyDescent="0.3">
      <c r="A34" s="477" t="s">
        <v>21</v>
      </c>
      <c r="B34" s="501" t="s">
        <v>22</v>
      </c>
      <c r="C34" s="502"/>
      <c r="D34" s="502"/>
      <c r="E34" s="502"/>
    </row>
    <row r="35" spans="1:5" ht="16.5" customHeight="1" x14ac:dyDescent="0.3">
      <c r="A35" s="477"/>
      <c r="B35" s="501" t="s">
        <v>23</v>
      </c>
      <c r="C35" s="502"/>
      <c r="D35" s="502"/>
      <c r="E35" s="502"/>
    </row>
    <row r="36" spans="1:5" ht="16.5" customHeight="1" x14ac:dyDescent="0.3">
      <c r="A36" s="477"/>
      <c r="B36" s="501" t="s">
        <v>24</v>
      </c>
      <c r="C36" s="502"/>
      <c r="D36" s="502"/>
      <c r="E36" s="502"/>
    </row>
    <row r="37" spans="1:5" ht="15.75" customHeight="1" x14ac:dyDescent="0.25">
      <c r="A37" s="476"/>
      <c r="B37" s="476"/>
      <c r="C37" s="476"/>
      <c r="D37" s="476"/>
      <c r="E37" s="476"/>
    </row>
    <row r="38" spans="1:5" ht="16.5" customHeight="1" x14ac:dyDescent="0.3">
      <c r="A38" s="472" t="s">
        <v>1</v>
      </c>
      <c r="B38" s="473" t="s">
        <v>25</v>
      </c>
    </row>
    <row r="39" spans="1:5" ht="16.5" customHeight="1" x14ac:dyDescent="0.3">
      <c r="A39" s="477" t="s">
        <v>4</v>
      </c>
      <c r="B39" s="478" t="s">
        <v>131</v>
      </c>
      <c r="C39" s="476"/>
      <c r="D39" s="476"/>
      <c r="E39" s="476"/>
    </row>
    <row r="40" spans="1:5" ht="16.5" customHeight="1" x14ac:dyDescent="0.3">
      <c r="A40" s="477" t="s">
        <v>6</v>
      </c>
      <c r="B40" s="478">
        <v>99.3</v>
      </c>
      <c r="C40" s="476"/>
      <c r="D40" s="476"/>
      <c r="E40" s="476"/>
    </row>
    <row r="41" spans="1:5" ht="16.5" customHeight="1" x14ac:dyDescent="0.3">
      <c r="A41" s="474" t="s">
        <v>8</v>
      </c>
      <c r="B41" s="478">
        <v>19.75</v>
      </c>
      <c r="C41" s="476"/>
      <c r="D41" s="476"/>
      <c r="E41" s="476"/>
    </row>
    <row r="42" spans="1:5" ht="16.5" customHeight="1" x14ac:dyDescent="0.3">
      <c r="A42" s="474" t="s">
        <v>10</v>
      </c>
      <c r="B42" s="479">
        <f>19.75/25*4/100</f>
        <v>3.1600000000000003E-2</v>
      </c>
      <c r="C42" s="476"/>
      <c r="D42" s="476"/>
      <c r="E42" s="476"/>
    </row>
    <row r="43" spans="1:5" ht="15.75" customHeight="1" x14ac:dyDescent="0.25">
      <c r="A43" s="476"/>
      <c r="B43" s="476"/>
      <c r="C43" s="476"/>
      <c r="D43" s="476"/>
      <c r="E43" s="476"/>
    </row>
    <row r="44" spans="1:5" ht="16.5" customHeight="1" x14ac:dyDescent="0.3">
      <c r="A44" s="480" t="s">
        <v>13</v>
      </c>
      <c r="B44" s="481" t="s">
        <v>14</v>
      </c>
      <c r="C44" s="480" t="s">
        <v>15</v>
      </c>
      <c r="D44" s="480" t="s">
        <v>16</v>
      </c>
      <c r="E44" s="480" t="s">
        <v>17</v>
      </c>
    </row>
    <row r="45" spans="1:5" ht="16.5" customHeight="1" x14ac:dyDescent="0.3">
      <c r="A45" s="482">
        <v>1</v>
      </c>
      <c r="B45" s="483">
        <v>3716035</v>
      </c>
      <c r="C45" s="503">
        <v>10217</v>
      </c>
      <c r="D45" s="484">
        <v>1</v>
      </c>
      <c r="E45" s="485">
        <v>3.1</v>
      </c>
    </row>
    <row r="46" spans="1:5" ht="16.5" customHeight="1" x14ac:dyDescent="0.3">
      <c r="A46" s="482">
        <v>2</v>
      </c>
      <c r="B46" s="483">
        <v>3727845</v>
      </c>
      <c r="C46" s="483">
        <v>10192.299999999999</v>
      </c>
      <c r="D46" s="484">
        <v>1</v>
      </c>
      <c r="E46" s="484">
        <v>3.1</v>
      </c>
    </row>
    <row r="47" spans="1:5" ht="16.5" customHeight="1" x14ac:dyDescent="0.3">
      <c r="A47" s="482">
        <v>3</v>
      </c>
      <c r="B47" s="483">
        <v>3726878</v>
      </c>
      <c r="C47" s="483">
        <v>10241.9</v>
      </c>
      <c r="D47" s="484">
        <v>1.1000000000000001</v>
      </c>
      <c r="E47" s="484">
        <v>3.1</v>
      </c>
    </row>
    <row r="48" spans="1:5" ht="16.5" customHeight="1" x14ac:dyDescent="0.3">
      <c r="A48" s="482">
        <v>4</v>
      </c>
      <c r="B48" s="483">
        <v>3731827</v>
      </c>
      <c r="C48" s="483">
        <v>10243.1</v>
      </c>
      <c r="D48" s="484">
        <v>1</v>
      </c>
      <c r="E48" s="484">
        <v>3.1</v>
      </c>
    </row>
    <row r="49" spans="1:7" ht="16.5" customHeight="1" x14ac:dyDescent="0.3">
      <c r="A49" s="482">
        <v>5</v>
      </c>
      <c r="B49" s="483">
        <v>3729470</v>
      </c>
      <c r="C49" s="483">
        <v>10221.9</v>
      </c>
      <c r="D49" s="484">
        <v>1</v>
      </c>
      <c r="E49" s="484">
        <v>3.1</v>
      </c>
    </row>
    <row r="50" spans="1:7" ht="16.5" customHeight="1" x14ac:dyDescent="0.3">
      <c r="A50" s="482">
        <v>6</v>
      </c>
      <c r="B50" s="486">
        <v>3704826</v>
      </c>
      <c r="C50" s="486">
        <v>10219.4</v>
      </c>
      <c r="D50" s="487">
        <v>1</v>
      </c>
      <c r="E50" s="487">
        <v>3.1</v>
      </c>
    </row>
    <row r="51" spans="1:7" ht="16.5" customHeight="1" x14ac:dyDescent="0.3">
      <c r="A51" s="488" t="s">
        <v>18</v>
      </c>
      <c r="B51" s="489">
        <f>AVERAGE(B45:B50)</f>
        <v>3722813.5</v>
      </c>
      <c r="C51" s="490">
        <f>AVERAGE(C45:C50)</f>
        <v>10222.6</v>
      </c>
      <c r="D51" s="491">
        <f>AVERAGE(D45:D50)</f>
        <v>1.0166666666666666</v>
      </c>
      <c r="E51" s="491">
        <f>AVERAGE(E45:E50)</f>
        <v>3.1</v>
      </c>
    </row>
    <row r="52" spans="1:7" ht="16.5" customHeight="1" x14ac:dyDescent="0.3">
      <c r="A52" s="492" t="s">
        <v>19</v>
      </c>
      <c r="B52" s="493">
        <f>(STDEV(B45:B50)/B51)</f>
        <v>2.7834599576153952E-3</v>
      </c>
      <c r="C52" s="494"/>
      <c r="D52" s="494"/>
      <c r="E52" s="495"/>
    </row>
    <row r="53" spans="1:7" s="470" customFormat="1" ht="16.5" customHeight="1" x14ac:dyDescent="0.3">
      <c r="A53" s="496" t="s">
        <v>20</v>
      </c>
      <c r="B53" s="497">
        <f>COUNT(B45:B50)</f>
        <v>6</v>
      </c>
      <c r="C53" s="498"/>
      <c r="D53" s="499"/>
      <c r="E53" s="500"/>
    </row>
    <row r="54" spans="1:7" s="470" customFormat="1" ht="15.75" customHeight="1" x14ac:dyDescent="0.25">
      <c r="A54" s="476"/>
      <c r="B54" s="476"/>
      <c r="C54" s="476"/>
      <c r="D54" s="476"/>
      <c r="E54" s="476"/>
    </row>
    <row r="55" spans="1:7" s="470" customFormat="1" ht="16.5" customHeight="1" x14ac:dyDescent="0.3">
      <c r="A55" s="477" t="s">
        <v>21</v>
      </c>
      <c r="B55" s="501" t="s">
        <v>22</v>
      </c>
      <c r="C55" s="502"/>
      <c r="D55" s="502"/>
      <c r="E55" s="502"/>
    </row>
    <row r="56" spans="1:7" ht="16.5" customHeight="1" x14ac:dyDescent="0.3">
      <c r="A56" s="477"/>
      <c r="B56" s="501" t="s">
        <v>23</v>
      </c>
      <c r="C56" s="502"/>
      <c r="D56" s="502"/>
      <c r="E56" s="502"/>
    </row>
    <row r="57" spans="1:7" ht="16.5" customHeight="1" x14ac:dyDescent="0.3">
      <c r="A57" s="477"/>
      <c r="B57" s="501" t="s">
        <v>24</v>
      </c>
      <c r="C57" s="502"/>
      <c r="D57" s="502"/>
      <c r="E57" s="502"/>
    </row>
    <row r="58" spans="1:7" ht="14.25" customHeight="1" thickBot="1" x14ac:dyDescent="0.3">
      <c r="A58" s="504"/>
      <c r="B58" s="505"/>
      <c r="D58" s="506"/>
      <c r="F58" s="507"/>
      <c r="G58" s="507"/>
    </row>
    <row r="59" spans="1:7" ht="15" customHeight="1" x14ac:dyDescent="0.3">
      <c r="B59" s="518" t="s">
        <v>26</v>
      </c>
      <c r="C59" s="518"/>
      <c r="E59" s="508" t="s">
        <v>27</v>
      </c>
      <c r="F59" s="509"/>
      <c r="G59" s="508" t="s">
        <v>28</v>
      </c>
    </row>
    <row r="60" spans="1:7" ht="15" customHeight="1" x14ac:dyDescent="0.3">
      <c r="A60" s="510" t="s">
        <v>29</v>
      </c>
      <c r="B60" s="511" t="s">
        <v>141</v>
      </c>
      <c r="C60" s="511"/>
      <c r="E60" s="512">
        <v>42381</v>
      </c>
      <c r="G60" s="511"/>
    </row>
    <row r="61" spans="1:7" ht="15" customHeight="1" x14ac:dyDescent="0.3">
      <c r="A61" s="510" t="s">
        <v>30</v>
      </c>
      <c r="B61" s="513"/>
      <c r="C61" s="513"/>
      <c r="E61" s="513"/>
      <c r="G61" s="5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2" t="s">
        <v>31</v>
      </c>
      <c r="B11" s="523"/>
      <c r="C11" s="523"/>
      <c r="D11" s="523"/>
      <c r="E11" s="523"/>
      <c r="F11" s="524"/>
      <c r="G11" s="43"/>
    </row>
    <row r="12" spans="1:7" ht="16.5" customHeight="1" x14ac:dyDescent="0.3">
      <c r="A12" s="521" t="s">
        <v>32</v>
      </c>
      <c r="B12" s="521"/>
      <c r="C12" s="521"/>
      <c r="D12" s="521"/>
      <c r="E12" s="521"/>
      <c r="F12" s="521"/>
      <c r="G12" s="42"/>
    </row>
    <row r="14" spans="1:7" ht="16.5" customHeight="1" x14ac:dyDescent="0.3">
      <c r="A14" s="526" t="s">
        <v>33</v>
      </c>
      <c r="B14" s="526"/>
      <c r="C14" s="12" t="s">
        <v>5</v>
      </c>
    </row>
    <row r="15" spans="1:7" ht="16.5" customHeight="1" x14ac:dyDescent="0.3">
      <c r="A15" s="526" t="s">
        <v>34</v>
      </c>
      <c r="B15" s="526"/>
      <c r="C15" s="12" t="s">
        <v>7</v>
      </c>
    </row>
    <row r="16" spans="1:7" ht="16.5" customHeight="1" x14ac:dyDescent="0.3">
      <c r="A16" s="526" t="s">
        <v>35</v>
      </c>
      <c r="B16" s="526"/>
      <c r="C16" s="12" t="s">
        <v>9</v>
      </c>
    </row>
    <row r="17" spans="1:5" ht="16.5" customHeight="1" x14ac:dyDescent="0.3">
      <c r="A17" s="526" t="s">
        <v>36</v>
      </c>
      <c r="B17" s="526"/>
      <c r="C17" s="12" t="s">
        <v>11</v>
      </c>
    </row>
    <row r="18" spans="1:5" ht="16.5" customHeight="1" x14ac:dyDescent="0.3">
      <c r="A18" s="526" t="s">
        <v>37</v>
      </c>
      <c r="B18" s="526"/>
      <c r="C18" s="49" t="s">
        <v>12</v>
      </c>
    </row>
    <row r="19" spans="1:5" ht="16.5" customHeight="1" x14ac:dyDescent="0.3">
      <c r="A19" s="526" t="s">
        <v>38</v>
      </c>
      <c r="B19" s="52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21" t="s">
        <v>1</v>
      </c>
      <c r="B21" s="521"/>
      <c r="C21" s="11" t="s">
        <v>39</v>
      </c>
      <c r="D21" s="18"/>
    </row>
    <row r="22" spans="1:5" ht="15.75" customHeight="1" x14ac:dyDescent="0.3">
      <c r="A22" s="525"/>
      <c r="B22" s="525"/>
      <c r="C22" s="9"/>
      <c r="D22" s="525"/>
      <c r="E22" s="52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1042.76</v>
      </c>
      <c r="D24" s="39">
        <f t="shared" ref="D24:D43" si="0">(C24-$C$46)/$C$46</f>
        <v>1.3193954979229831E-3</v>
      </c>
      <c r="E24" s="5"/>
    </row>
    <row r="25" spans="1:5" ht="15.75" customHeight="1" x14ac:dyDescent="0.3">
      <c r="C25" s="47">
        <v>1047.3699999999999</v>
      </c>
      <c r="D25" s="40">
        <f t="shared" si="0"/>
        <v>5.7461882529628054E-3</v>
      </c>
      <c r="E25" s="5"/>
    </row>
    <row r="26" spans="1:5" ht="15.75" customHeight="1" x14ac:dyDescent="0.3">
      <c r="C26" s="47">
        <v>1030.82</v>
      </c>
      <c r="D26" s="40">
        <f t="shared" si="0"/>
        <v>-1.0146093763503668E-2</v>
      </c>
      <c r="E26" s="5"/>
    </row>
    <row r="27" spans="1:5" ht="15.75" customHeight="1" x14ac:dyDescent="0.3">
      <c r="C27" s="47">
        <v>1036.76</v>
      </c>
      <c r="D27" s="40">
        <f t="shared" si="0"/>
        <v>-4.4421568947537E-3</v>
      </c>
      <c r="E27" s="5"/>
    </row>
    <row r="28" spans="1:5" ht="15.75" customHeight="1" x14ac:dyDescent="0.3">
      <c r="C28" s="47">
        <v>1046.98</v>
      </c>
      <c r="D28" s="40">
        <f t="shared" si="0"/>
        <v>5.3716873474389431E-3</v>
      </c>
      <c r="E28" s="5"/>
    </row>
    <row r="29" spans="1:5" ht="15.75" customHeight="1" x14ac:dyDescent="0.3">
      <c r="C29" s="47">
        <v>1046.52</v>
      </c>
      <c r="D29" s="40">
        <f t="shared" si="0"/>
        <v>4.9299683306670292E-3</v>
      </c>
      <c r="E29" s="5"/>
    </row>
    <row r="30" spans="1:5" ht="15.75" customHeight="1" x14ac:dyDescent="0.3">
      <c r="C30" s="47">
        <v>1039.8599999999999</v>
      </c>
      <c r="D30" s="40">
        <f t="shared" si="0"/>
        <v>-1.4653548252041677E-3</v>
      </c>
      <c r="E30" s="5"/>
    </row>
    <row r="31" spans="1:5" ht="15.75" customHeight="1" x14ac:dyDescent="0.3">
      <c r="C31" s="47">
        <v>1040.1199999999999</v>
      </c>
      <c r="D31" s="40">
        <f t="shared" si="0"/>
        <v>-1.2156875548548535E-3</v>
      </c>
      <c r="E31" s="5"/>
    </row>
    <row r="32" spans="1:5" ht="15.75" customHeight="1" x14ac:dyDescent="0.3">
      <c r="C32" s="47">
        <v>1035.58</v>
      </c>
      <c r="D32" s="40">
        <f t="shared" si="0"/>
        <v>-5.5752621986468421E-3</v>
      </c>
      <c r="E32" s="5"/>
    </row>
    <row r="33" spans="1:7" ht="15.75" customHeight="1" x14ac:dyDescent="0.3">
      <c r="C33" s="47">
        <v>1035.52</v>
      </c>
      <c r="D33" s="40">
        <f t="shared" si="0"/>
        <v>-5.6328777225735562E-3</v>
      </c>
      <c r="E33" s="5"/>
    </row>
    <row r="34" spans="1:7" ht="15.75" customHeight="1" x14ac:dyDescent="0.3">
      <c r="C34" s="47">
        <v>1042.55</v>
      </c>
      <c r="D34" s="40">
        <f t="shared" si="0"/>
        <v>1.1177411641792644E-3</v>
      </c>
      <c r="E34" s="5"/>
    </row>
    <row r="35" spans="1:7" ht="15.75" customHeight="1" x14ac:dyDescent="0.3">
      <c r="C35" s="47">
        <v>1044.32</v>
      </c>
      <c r="D35" s="40">
        <f t="shared" si="0"/>
        <v>2.8173991200188685E-3</v>
      </c>
      <c r="E35" s="5"/>
    </row>
    <row r="36" spans="1:7" ht="15.75" customHeight="1" x14ac:dyDescent="0.3">
      <c r="C36" s="47">
        <v>1033.3699999999999</v>
      </c>
      <c r="D36" s="40">
        <f t="shared" si="0"/>
        <v>-7.6974339966161221E-3</v>
      </c>
      <c r="E36" s="5"/>
    </row>
    <row r="37" spans="1:7" ht="15.75" customHeight="1" x14ac:dyDescent="0.3">
      <c r="C37" s="47">
        <v>1043.53</v>
      </c>
      <c r="D37" s="40">
        <f t="shared" si="0"/>
        <v>2.0587947216498068E-3</v>
      </c>
      <c r="E37" s="5"/>
    </row>
    <row r="38" spans="1:7" ht="15.75" customHeight="1" x14ac:dyDescent="0.3">
      <c r="C38" s="47">
        <v>1043.3900000000001</v>
      </c>
      <c r="D38" s="40">
        <f t="shared" si="0"/>
        <v>1.9243584991541396E-3</v>
      </c>
      <c r="E38" s="5"/>
    </row>
    <row r="39" spans="1:7" ht="15.75" customHeight="1" x14ac:dyDescent="0.3">
      <c r="C39" s="47">
        <v>1049.1400000000001</v>
      </c>
      <c r="D39" s="40">
        <f t="shared" si="0"/>
        <v>7.4458462088026279E-3</v>
      </c>
      <c r="E39" s="5"/>
    </row>
    <row r="40" spans="1:7" ht="15.75" customHeight="1" x14ac:dyDescent="0.3">
      <c r="C40" s="47">
        <v>1036.72</v>
      </c>
      <c r="D40" s="40">
        <f t="shared" si="0"/>
        <v>-4.4805672440381764E-3</v>
      </c>
      <c r="E40" s="5"/>
    </row>
    <row r="41" spans="1:7" ht="15.75" customHeight="1" x14ac:dyDescent="0.3">
      <c r="C41" s="47">
        <v>1040.5899999999999</v>
      </c>
      <c r="D41" s="40">
        <f t="shared" si="0"/>
        <v>-7.6436595076182043E-4</v>
      </c>
      <c r="E41" s="5"/>
    </row>
    <row r="42" spans="1:7" ht="15.75" customHeight="1" x14ac:dyDescent="0.3">
      <c r="C42" s="47">
        <v>1048.94</v>
      </c>
      <c r="D42" s="40">
        <f t="shared" si="0"/>
        <v>7.2537944623800275E-3</v>
      </c>
      <c r="E42" s="5"/>
    </row>
    <row r="43" spans="1:7" ht="16.5" customHeight="1" x14ac:dyDescent="0.3">
      <c r="C43" s="48">
        <v>1042.8800000000001</v>
      </c>
      <c r="D43" s="41">
        <f t="shared" si="0"/>
        <v>1.4346265457766303E-3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20827.72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1041.386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9">
        <f>C46</f>
        <v>1041.386</v>
      </c>
      <c r="C49" s="45">
        <f>-IF(C46&lt;=80,10%,IF(C46&lt;250,7.5%,5%))</f>
        <v>-0.05</v>
      </c>
      <c r="D49" s="33">
        <f>IF(C46&lt;=80,C46*0.9,IF(C46&lt;250,C46*0.925,C46*0.95))</f>
        <v>989.31669999999997</v>
      </c>
    </row>
    <row r="50" spans="1:6" ht="17.25" customHeight="1" x14ac:dyDescent="0.3">
      <c r="B50" s="520"/>
      <c r="C50" s="46">
        <f>IF(C46&lt;=80, 10%, IF(C46&lt;250, 7.5%, 5%))</f>
        <v>0.05</v>
      </c>
      <c r="D50" s="33">
        <f>IF(C46&lt;=80, C46*1.1, IF(C46&lt;250, C46*1.075, C46*1.05))</f>
        <v>1093.4553000000001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" zoomScale="50" zoomScaleNormal="40" zoomScalePageLayoutView="50" workbookViewId="0">
      <selection activeCell="B27" sqref="B27:C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7" t="s">
        <v>45</v>
      </c>
      <c r="B1" s="527"/>
      <c r="C1" s="527"/>
      <c r="D1" s="527"/>
      <c r="E1" s="527"/>
      <c r="F1" s="527"/>
      <c r="G1" s="527"/>
      <c r="H1" s="527"/>
      <c r="I1" s="527"/>
    </row>
    <row r="2" spans="1:9" ht="18.75" customHeight="1" x14ac:dyDescent="0.25">
      <c r="A2" s="527"/>
      <c r="B2" s="527"/>
      <c r="C2" s="527"/>
      <c r="D2" s="527"/>
      <c r="E2" s="527"/>
      <c r="F2" s="527"/>
      <c r="G2" s="527"/>
      <c r="H2" s="527"/>
      <c r="I2" s="527"/>
    </row>
    <row r="3" spans="1:9" ht="18.75" customHeight="1" x14ac:dyDescent="0.25">
      <c r="A3" s="527"/>
      <c r="B3" s="527"/>
      <c r="C3" s="527"/>
      <c r="D3" s="527"/>
      <c r="E3" s="527"/>
      <c r="F3" s="527"/>
      <c r="G3" s="527"/>
      <c r="H3" s="527"/>
      <c r="I3" s="527"/>
    </row>
    <row r="4" spans="1:9" ht="18.75" customHeight="1" x14ac:dyDescent="0.25">
      <c r="A4" s="527"/>
      <c r="B4" s="527"/>
      <c r="C4" s="527"/>
      <c r="D4" s="527"/>
      <c r="E4" s="527"/>
      <c r="F4" s="527"/>
      <c r="G4" s="527"/>
      <c r="H4" s="527"/>
      <c r="I4" s="527"/>
    </row>
    <row r="5" spans="1:9" ht="18.75" customHeight="1" x14ac:dyDescent="0.25">
      <c r="A5" s="527"/>
      <c r="B5" s="527"/>
      <c r="C5" s="527"/>
      <c r="D5" s="527"/>
      <c r="E5" s="527"/>
      <c r="F5" s="527"/>
      <c r="G5" s="527"/>
      <c r="H5" s="527"/>
      <c r="I5" s="527"/>
    </row>
    <row r="6" spans="1:9" ht="18.75" customHeight="1" x14ac:dyDescent="0.25">
      <c r="A6" s="527"/>
      <c r="B6" s="527"/>
      <c r="C6" s="527"/>
      <c r="D6" s="527"/>
      <c r="E6" s="527"/>
      <c r="F6" s="527"/>
      <c r="G6" s="527"/>
      <c r="H6" s="527"/>
      <c r="I6" s="527"/>
    </row>
    <row r="7" spans="1:9" ht="18.75" customHeight="1" x14ac:dyDescent="0.25">
      <c r="A7" s="527"/>
      <c r="B7" s="527"/>
      <c r="C7" s="527"/>
      <c r="D7" s="527"/>
      <c r="E7" s="527"/>
      <c r="F7" s="527"/>
      <c r="G7" s="527"/>
      <c r="H7" s="527"/>
      <c r="I7" s="527"/>
    </row>
    <row r="8" spans="1:9" x14ac:dyDescent="0.25">
      <c r="A8" s="528" t="s">
        <v>46</v>
      </c>
      <c r="B8" s="528"/>
      <c r="C8" s="528"/>
      <c r="D8" s="528"/>
      <c r="E8" s="528"/>
      <c r="F8" s="528"/>
      <c r="G8" s="528"/>
      <c r="H8" s="528"/>
      <c r="I8" s="528"/>
    </row>
    <row r="9" spans="1:9" x14ac:dyDescent="0.25">
      <c r="A9" s="528"/>
      <c r="B9" s="528"/>
      <c r="C9" s="528"/>
      <c r="D9" s="528"/>
      <c r="E9" s="528"/>
      <c r="F9" s="528"/>
      <c r="G9" s="528"/>
      <c r="H9" s="528"/>
      <c r="I9" s="528"/>
    </row>
    <row r="10" spans="1:9" x14ac:dyDescent="0.25">
      <c r="A10" s="528"/>
      <c r="B10" s="528"/>
      <c r="C10" s="528"/>
      <c r="D10" s="528"/>
      <c r="E10" s="528"/>
      <c r="F10" s="528"/>
      <c r="G10" s="528"/>
      <c r="H10" s="528"/>
      <c r="I10" s="528"/>
    </row>
    <row r="11" spans="1:9" x14ac:dyDescent="0.25">
      <c r="A11" s="528"/>
      <c r="B11" s="528"/>
      <c r="C11" s="528"/>
      <c r="D11" s="528"/>
      <c r="E11" s="528"/>
      <c r="F11" s="528"/>
      <c r="G11" s="528"/>
      <c r="H11" s="528"/>
      <c r="I11" s="528"/>
    </row>
    <row r="12" spans="1:9" x14ac:dyDescent="0.25">
      <c r="A12" s="528"/>
      <c r="B12" s="528"/>
      <c r="C12" s="528"/>
      <c r="D12" s="528"/>
      <c r="E12" s="528"/>
      <c r="F12" s="528"/>
      <c r="G12" s="528"/>
      <c r="H12" s="528"/>
      <c r="I12" s="528"/>
    </row>
    <row r="13" spans="1:9" x14ac:dyDescent="0.25">
      <c r="A13" s="528"/>
      <c r="B13" s="528"/>
      <c r="C13" s="528"/>
      <c r="D13" s="528"/>
      <c r="E13" s="528"/>
      <c r="F13" s="528"/>
      <c r="G13" s="528"/>
      <c r="H13" s="528"/>
      <c r="I13" s="528"/>
    </row>
    <row r="14" spans="1:9" x14ac:dyDescent="0.25">
      <c r="A14" s="528"/>
      <c r="B14" s="528"/>
      <c r="C14" s="528"/>
      <c r="D14" s="528"/>
      <c r="E14" s="528"/>
      <c r="F14" s="528"/>
      <c r="G14" s="528"/>
      <c r="H14" s="528"/>
      <c r="I14" s="528"/>
    </row>
    <row r="15" spans="1:9" ht="19.5" customHeight="1" x14ac:dyDescent="0.3">
      <c r="A15" s="50"/>
    </row>
    <row r="16" spans="1:9" ht="19.5" customHeight="1" x14ac:dyDescent="0.3">
      <c r="A16" s="560" t="s">
        <v>31</v>
      </c>
      <c r="B16" s="561"/>
      <c r="C16" s="561"/>
      <c r="D16" s="561"/>
      <c r="E16" s="561"/>
      <c r="F16" s="561"/>
      <c r="G16" s="561"/>
      <c r="H16" s="562"/>
    </row>
    <row r="17" spans="1:14" ht="20.25" customHeight="1" x14ac:dyDescent="0.25">
      <c r="A17" s="563" t="s">
        <v>47</v>
      </c>
      <c r="B17" s="563"/>
      <c r="C17" s="563"/>
      <c r="D17" s="563"/>
      <c r="E17" s="563"/>
      <c r="F17" s="563"/>
      <c r="G17" s="563"/>
      <c r="H17" s="563"/>
    </row>
    <row r="18" spans="1:14" ht="26.25" customHeight="1" x14ac:dyDescent="0.4">
      <c r="A18" s="52" t="s">
        <v>33</v>
      </c>
      <c r="B18" s="559" t="s">
        <v>5</v>
      </c>
      <c r="C18" s="559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64" t="s">
        <v>135</v>
      </c>
      <c r="C20" s="564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64" t="s">
        <v>137</v>
      </c>
      <c r="C21" s="564"/>
      <c r="D21" s="564"/>
      <c r="E21" s="564"/>
      <c r="F21" s="564"/>
      <c r="G21" s="564"/>
      <c r="H21" s="564"/>
      <c r="I21" s="56"/>
    </row>
    <row r="22" spans="1:14" ht="26.25" customHeight="1" x14ac:dyDescent="0.4">
      <c r="A22" s="52" t="s">
        <v>37</v>
      </c>
      <c r="B22" s="57">
        <v>42691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42704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9" t="s">
        <v>136</v>
      </c>
      <c r="C26" s="559"/>
    </row>
    <row r="27" spans="1:14" ht="26.25" customHeight="1" x14ac:dyDescent="0.4">
      <c r="A27" s="61" t="s">
        <v>48</v>
      </c>
      <c r="B27" s="565" t="s">
        <v>133</v>
      </c>
      <c r="C27" s="565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535" t="s">
        <v>50</v>
      </c>
      <c r="D29" s="536"/>
      <c r="E29" s="536"/>
      <c r="F29" s="536"/>
      <c r="G29" s="537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8" t="s">
        <v>53</v>
      </c>
      <c r="D31" s="539"/>
      <c r="E31" s="539"/>
      <c r="F31" s="539"/>
      <c r="G31" s="539"/>
      <c r="H31" s="540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8" t="s">
        <v>55</v>
      </c>
      <c r="D32" s="539"/>
      <c r="E32" s="539"/>
      <c r="F32" s="539"/>
      <c r="G32" s="539"/>
      <c r="H32" s="54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41" t="s">
        <v>59</v>
      </c>
      <c r="E36" s="566"/>
      <c r="F36" s="541" t="s">
        <v>60</v>
      </c>
      <c r="G36" s="54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49805608</v>
      </c>
      <c r="E38" s="85">
        <f>IF(ISBLANK(D38),"-",$D$48/$D$45*D38)</f>
        <v>51060365.41982682</v>
      </c>
      <c r="F38" s="84">
        <v>52870972</v>
      </c>
      <c r="G38" s="86">
        <f>IF(ISBLANK(F38),"-",$D$48/$F$45*F38)</f>
        <v>51298642.9444317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49960607</v>
      </c>
      <c r="E39" s="90">
        <f>IF(ISBLANK(D39),"-",$D$48/$D$45*D39)</f>
        <v>51219269.324377239</v>
      </c>
      <c r="F39" s="89">
        <v>52971996</v>
      </c>
      <c r="G39" s="91">
        <f>IF(ISBLANK(F39),"-",$D$48/$F$45*F39)</f>
        <v>51396662.593187511</v>
      </c>
      <c r="I39" s="543">
        <f>ABS((F43/D43*D42)-F42)/D42</f>
        <v>6.0184678899433078E-3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49868065</v>
      </c>
      <c r="E40" s="90">
        <f>IF(ISBLANK(D40),"-",$D$48/$D$45*D40)</f>
        <v>51124395.904968694</v>
      </c>
      <c r="F40" s="89">
        <v>53163542</v>
      </c>
      <c r="G40" s="91">
        <f>IF(ISBLANK(F40),"-",$D$48/$F$45*F40)</f>
        <v>51582512.209522054</v>
      </c>
      <c r="I40" s="54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49878093.333333336</v>
      </c>
      <c r="E42" s="100">
        <f>AVERAGE(E38:E41)</f>
        <v>51134676.883057587</v>
      </c>
      <c r="F42" s="99">
        <f>AVERAGE(F38:F41)</f>
        <v>53002170</v>
      </c>
      <c r="G42" s="101">
        <f>AVERAGE(G38:G41)</f>
        <v>51425939.249047078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15.72</v>
      </c>
      <c r="E43" s="92"/>
      <c r="F43" s="104">
        <v>16.61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15.72</v>
      </c>
      <c r="E44" s="107"/>
      <c r="F44" s="106">
        <f>F43*$B$34</f>
        <v>16.61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15.606816000000002</v>
      </c>
      <c r="E45" s="110"/>
      <c r="F45" s="109">
        <f>F44*$B$30/100</f>
        <v>16.490407999999999</v>
      </c>
      <c r="H45" s="102"/>
    </row>
    <row r="46" spans="1:14" ht="19.5" customHeight="1" x14ac:dyDescent="0.3">
      <c r="A46" s="529" t="s">
        <v>78</v>
      </c>
      <c r="B46" s="530"/>
      <c r="C46" s="105" t="s">
        <v>79</v>
      </c>
      <c r="D46" s="111">
        <f>D45/$B$45</f>
        <v>0.15606816000000001</v>
      </c>
      <c r="E46" s="112"/>
      <c r="F46" s="113">
        <f>F45/$B$45</f>
        <v>0.16490407999999998</v>
      </c>
      <c r="H46" s="102"/>
    </row>
    <row r="47" spans="1:14" ht="27" customHeight="1" x14ac:dyDescent="0.4">
      <c r="A47" s="531"/>
      <c r="B47" s="532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51280308.06605234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3.7165110641121601E-3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Sulphamethoxazole B.P. 800 mg and Trimethoprim B.P. 160 mg.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1041.386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6" t="s">
        <v>94</v>
      </c>
      <c r="D60" s="549">
        <v>205.3</v>
      </c>
      <c r="E60" s="134">
        <v>1</v>
      </c>
      <c r="F60" s="135">
        <v>49293344</v>
      </c>
      <c r="G60" s="200">
        <f>IF(ISBLANK(F60),"-",(F60/$D$50*$D$47*$B$68)*($B$57/$D$60))</f>
        <v>780.15415133581439</v>
      </c>
      <c r="H60" s="218">
        <f t="shared" ref="H60:H71" si="0">IF(ISBLANK(F60),"-",(G60/$B$56)*100)</f>
        <v>97.519268916976799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47"/>
      <c r="D61" s="550"/>
      <c r="E61" s="136">
        <v>2</v>
      </c>
      <c r="F61" s="89">
        <v>49525505</v>
      </c>
      <c r="G61" s="201">
        <f>IF(ISBLANK(F61),"-",(F61/$D$50*$D$47*$B$68)*($B$57/$D$60))</f>
        <v>783.8285088297647</v>
      </c>
      <c r="H61" s="219">
        <f t="shared" si="0"/>
        <v>97.978563603720588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7"/>
      <c r="D62" s="550"/>
      <c r="E62" s="136">
        <v>3</v>
      </c>
      <c r="F62" s="137">
        <v>49269896</v>
      </c>
      <c r="G62" s="201">
        <f>IF(ISBLANK(F62),"-",(F62/$D$50*$D$47*$B$68)*($B$57/$D$60))</f>
        <v>779.78304535971097</v>
      </c>
      <c r="H62" s="219">
        <f t="shared" si="0"/>
        <v>97.472880669963871</v>
      </c>
      <c r="L62" s="64"/>
    </row>
    <row r="63" spans="1:12" ht="27" customHeight="1" x14ac:dyDescent="0.4">
      <c r="A63" s="76" t="s">
        <v>97</v>
      </c>
      <c r="B63" s="77">
        <v>1</v>
      </c>
      <c r="C63" s="556"/>
      <c r="D63" s="55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6" t="s">
        <v>99</v>
      </c>
      <c r="D64" s="549">
        <v>208.57</v>
      </c>
      <c r="E64" s="134">
        <v>1</v>
      </c>
      <c r="F64" s="135">
        <v>50073295</v>
      </c>
      <c r="G64" s="200">
        <f>IF(ISBLANK(F64),"-",(F64/$D$50*$D$47*$B$68)*($B$57/$D$64))</f>
        <v>780.07331436723541</v>
      </c>
      <c r="H64" s="218">
        <f t="shared" si="0"/>
        <v>97.509164295904426</v>
      </c>
    </row>
    <row r="65" spans="1:8" ht="26.25" customHeight="1" x14ac:dyDescent="0.4">
      <c r="A65" s="76" t="s">
        <v>100</v>
      </c>
      <c r="B65" s="77">
        <v>1</v>
      </c>
      <c r="C65" s="547"/>
      <c r="D65" s="550"/>
      <c r="E65" s="136">
        <v>2</v>
      </c>
      <c r="F65" s="89">
        <v>49810141</v>
      </c>
      <c r="G65" s="201">
        <f>IF(ISBLANK(F65),"-",(F65/$D$50*$D$47*$B$68)*($B$57/$D$64))</f>
        <v>775.97373568025273</v>
      </c>
      <c r="H65" s="219">
        <f t="shared" si="0"/>
        <v>96.996716960031591</v>
      </c>
    </row>
    <row r="66" spans="1:8" ht="26.25" customHeight="1" x14ac:dyDescent="0.4">
      <c r="A66" s="76" t="s">
        <v>101</v>
      </c>
      <c r="B66" s="77">
        <v>1</v>
      </c>
      <c r="C66" s="547"/>
      <c r="D66" s="550"/>
      <c r="E66" s="136">
        <v>3</v>
      </c>
      <c r="F66" s="89">
        <v>49747027</v>
      </c>
      <c r="G66" s="201">
        <f>IF(ISBLANK(F66),"-",(F66/$D$50*$D$47*$B$68)*($B$57/$D$64))</f>
        <v>774.99050605330342</v>
      </c>
      <c r="H66" s="219">
        <f t="shared" si="0"/>
        <v>96.873813256662928</v>
      </c>
    </row>
    <row r="67" spans="1:8" ht="27" customHeight="1" x14ac:dyDescent="0.4">
      <c r="A67" s="76" t="s">
        <v>102</v>
      </c>
      <c r="B67" s="77">
        <v>1</v>
      </c>
      <c r="C67" s="556"/>
      <c r="D67" s="55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546" t="s">
        <v>104</v>
      </c>
      <c r="D68" s="549">
        <v>206.31</v>
      </c>
      <c r="E68" s="134">
        <v>1</v>
      </c>
      <c r="F68" s="135">
        <v>49441915</v>
      </c>
      <c r="G68" s="200">
        <f>IF(ISBLANK(F68),"-",(F68/$D$50*$D$47*$B$68)*($B$57/$D$68))</f>
        <v>778.67475802579224</v>
      </c>
      <c r="H68" s="219">
        <f t="shared" si="0"/>
        <v>97.33434475322403</v>
      </c>
    </row>
    <row r="69" spans="1:8" ht="27" customHeight="1" x14ac:dyDescent="0.4">
      <c r="A69" s="124" t="s">
        <v>105</v>
      </c>
      <c r="B69" s="141">
        <f>(D47*B68)/B56*B57</f>
        <v>208.27719999999999</v>
      </c>
      <c r="C69" s="547"/>
      <c r="D69" s="550"/>
      <c r="E69" s="136">
        <v>2</v>
      </c>
      <c r="F69" s="89">
        <v>49320356</v>
      </c>
      <c r="G69" s="201">
        <f>IF(ISBLANK(F69),"-",(F69/$D$50*$D$47*$B$68)*($B$57/$D$68))</f>
        <v>776.76029081895251</v>
      </c>
      <c r="H69" s="219">
        <f t="shared" si="0"/>
        <v>97.095036352369064</v>
      </c>
    </row>
    <row r="70" spans="1:8" ht="26.25" customHeight="1" x14ac:dyDescent="0.4">
      <c r="A70" s="552" t="s">
        <v>78</v>
      </c>
      <c r="B70" s="553"/>
      <c r="C70" s="547"/>
      <c r="D70" s="550"/>
      <c r="E70" s="136">
        <v>3</v>
      </c>
      <c r="F70" s="89">
        <v>49559324</v>
      </c>
      <c r="G70" s="201">
        <f>IF(ISBLANK(F70),"-",(F70/$D$50*$D$47*$B$68)*($B$57/$D$68))</f>
        <v>780.52386570426813</v>
      </c>
      <c r="H70" s="219">
        <f t="shared" si="0"/>
        <v>97.565483213033517</v>
      </c>
    </row>
    <row r="71" spans="1:8" ht="27" customHeight="1" x14ac:dyDescent="0.4">
      <c r="A71" s="554"/>
      <c r="B71" s="555"/>
      <c r="C71" s="548"/>
      <c r="D71" s="55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778.97357513056625</v>
      </c>
      <c r="H72" s="221">
        <f>AVERAGE(H60:H71)</f>
        <v>97.371696891320781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3.488729094685953E-3</v>
      </c>
      <c r="H73" s="205">
        <f>STDEV(H60:H71)/H72</f>
        <v>3.488729094685953E-3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33" t="str">
        <f>B26</f>
        <v>Sulfamethoxazole Raw Material</v>
      </c>
      <c r="D76" s="533"/>
      <c r="E76" s="150" t="s">
        <v>108</v>
      </c>
      <c r="F76" s="150"/>
      <c r="G76" s="151">
        <f>H72</f>
        <v>97.371696891320781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67" t="str">
        <f>B26</f>
        <v>Sulfamethoxazole Raw Material</v>
      </c>
      <c r="C79" s="567"/>
    </row>
    <row r="80" spans="1:8" ht="26.25" customHeight="1" x14ac:dyDescent="0.4">
      <c r="A80" s="61" t="s">
        <v>48</v>
      </c>
      <c r="B80" s="567" t="str">
        <f>B27</f>
        <v>NDQE201607046</v>
      </c>
      <c r="C80" s="567"/>
    </row>
    <row r="81" spans="1:12" ht="27" customHeight="1" x14ac:dyDescent="0.4">
      <c r="A81" s="61" t="s">
        <v>6</v>
      </c>
      <c r="B81" s="153">
        <v>99.28</v>
      </c>
    </row>
    <row r="82" spans="1:12" s="3" customFormat="1" ht="27" customHeight="1" x14ac:dyDescent="0.4">
      <c r="A82" s="61" t="s">
        <v>49</v>
      </c>
      <c r="B82" s="63">
        <v>0</v>
      </c>
      <c r="C82" s="535" t="s">
        <v>50</v>
      </c>
      <c r="D82" s="536"/>
      <c r="E82" s="536"/>
      <c r="F82" s="536"/>
      <c r="G82" s="537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8" t="s">
        <v>111</v>
      </c>
      <c r="D84" s="539"/>
      <c r="E84" s="539"/>
      <c r="F84" s="539"/>
      <c r="G84" s="539"/>
      <c r="H84" s="540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8" t="s">
        <v>112</v>
      </c>
      <c r="D85" s="539"/>
      <c r="E85" s="539"/>
      <c r="F85" s="539"/>
      <c r="G85" s="539"/>
      <c r="H85" s="54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41" t="s">
        <v>60</v>
      </c>
      <c r="G89" s="542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53346095</v>
      </c>
      <c r="E91" s="85">
        <f>IF(ISBLANK(D91),"-",$D$101/$D$98*D91)</f>
        <v>59703302.66809921</v>
      </c>
      <c r="F91" s="84">
        <v>54418631</v>
      </c>
      <c r="G91" s="86">
        <f>IF(ISBLANK(F91),"-",$D$101/$F$98*F91)</f>
        <v>58038024.394394197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53293876</v>
      </c>
      <c r="E92" s="90">
        <f>IF(ISBLANK(D92),"-",$D$101/$D$98*D92)</f>
        <v>59644860.775360376</v>
      </c>
      <c r="F92" s="89">
        <v>54485077</v>
      </c>
      <c r="G92" s="91">
        <f>IF(ISBLANK(F92),"-",$D$101/$F$98*F92)</f>
        <v>58108889.730365433</v>
      </c>
      <c r="I92" s="543">
        <f>ABS((F96/D96*D95)-F95)/D95</f>
        <v>2.4158532241995538E-2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52925478</v>
      </c>
      <c r="E93" s="90">
        <f>IF(ISBLANK(D93),"-",$D$101/$D$98*D93)</f>
        <v>59232561.106634438</v>
      </c>
      <c r="F93" s="89">
        <v>54685418</v>
      </c>
      <c r="G93" s="91">
        <f>IF(ISBLANK(F93),"-",$D$101/$F$98*F93)</f>
        <v>58322555.44799801</v>
      </c>
      <c r="I93" s="54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53188483</v>
      </c>
      <c r="E95" s="100">
        <f>AVERAGE(E91:E94)</f>
        <v>59526908.183364667</v>
      </c>
      <c r="F95" s="163">
        <f>AVERAGE(F91:F94)</f>
        <v>54529708.666666664</v>
      </c>
      <c r="G95" s="164">
        <f>AVERAGE(G91:G94)</f>
        <v>58156489.857585877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</v>
      </c>
      <c r="E96" s="92"/>
      <c r="F96" s="104">
        <v>16.79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</v>
      </c>
      <c r="E97" s="107"/>
      <c r="F97" s="106">
        <f>F96*$B$87</f>
        <v>16.79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15.8848</v>
      </c>
      <c r="E98" s="110"/>
      <c r="F98" s="109">
        <f>F97*$B$83/100</f>
        <v>16.669111999999998</v>
      </c>
    </row>
    <row r="99" spans="1:10" ht="19.5" customHeight="1" x14ac:dyDescent="0.3">
      <c r="A99" s="529" t="s">
        <v>78</v>
      </c>
      <c r="B99" s="544"/>
      <c r="C99" s="167" t="s">
        <v>116</v>
      </c>
      <c r="D99" s="171">
        <f>D98/$B$98</f>
        <v>0.15884799999999999</v>
      </c>
      <c r="E99" s="110"/>
      <c r="F99" s="113">
        <f>F98/$B$98</f>
        <v>0.16669111999999997</v>
      </c>
      <c r="G99" s="172"/>
      <c r="H99" s="102"/>
    </row>
    <row r="100" spans="1:10" ht="19.5" customHeight="1" x14ac:dyDescent="0.3">
      <c r="A100" s="531"/>
      <c r="B100" s="545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58841699.020475268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1.3147864948497082E-2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56597820</v>
      </c>
      <c r="E108" s="202">
        <f t="shared" ref="E108:E113" si="1">IF(ISBLANK(D108),"-",D108/$D$103*$D$100*$B$116)</f>
        <v>769.49266852822234</v>
      </c>
      <c r="F108" s="229">
        <f t="shared" ref="F108:F113" si="2">IF(ISBLANK(D108), "-", (E108/$B$56)*100)</f>
        <v>96.186583566027792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56798316</v>
      </c>
      <c r="E109" s="203">
        <f t="shared" si="1"/>
        <v>772.21857214198758</v>
      </c>
      <c r="F109" s="230">
        <f t="shared" si="2"/>
        <v>96.527321517748447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54262301</v>
      </c>
      <c r="E110" s="203">
        <f t="shared" si="1"/>
        <v>737.73941817850289</v>
      </c>
      <c r="F110" s="230">
        <f t="shared" si="2"/>
        <v>92.217427272312861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56898967</v>
      </c>
      <c r="E111" s="203">
        <f t="shared" si="1"/>
        <v>773.58700305646505</v>
      </c>
      <c r="F111" s="230">
        <f t="shared" si="2"/>
        <v>96.698375382058131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54323897</v>
      </c>
      <c r="E112" s="203">
        <f t="shared" si="1"/>
        <v>738.57686510509234</v>
      </c>
      <c r="F112" s="230">
        <f t="shared" si="2"/>
        <v>92.322108138136542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54465967</v>
      </c>
      <c r="E113" s="204">
        <f t="shared" si="1"/>
        <v>740.50842047980109</v>
      </c>
      <c r="F113" s="231">
        <f t="shared" si="2"/>
        <v>92.563552559975136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755.35382458167862</v>
      </c>
      <c r="F115" s="233">
        <f>AVERAGE(F108:F113)</f>
        <v>94.419228072709828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2.3895225126338789E-2</v>
      </c>
      <c r="F116" s="187">
        <f>STDEV(F108:F113)/F115</f>
        <v>2.3895225126338789E-2</v>
      </c>
      <c r="I116" s="50"/>
    </row>
    <row r="117" spans="1:10" ht="27" customHeight="1" x14ac:dyDescent="0.4">
      <c r="A117" s="529" t="s">
        <v>78</v>
      </c>
      <c r="B117" s="530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31"/>
      <c r="B118" s="532"/>
      <c r="C118" s="50"/>
      <c r="D118" s="212"/>
      <c r="E118" s="557" t="s">
        <v>123</v>
      </c>
      <c r="F118" s="558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737.73941817850289</v>
      </c>
      <c r="F119" s="234">
        <f>MIN(F108:F113)</f>
        <v>92.217427272312861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773.58700305646505</v>
      </c>
      <c r="F120" s="235">
        <f>MAX(F108:F113)</f>
        <v>96.698375382058131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33" t="str">
        <f>B26</f>
        <v>Sulfamethoxazole Raw Material</v>
      </c>
      <c r="D124" s="533"/>
      <c r="E124" s="150" t="s">
        <v>127</v>
      </c>
      <c r="F124" s="150"/>
      <c r="G124" s="236">
        <f>F115</f>
        <v>94.419228072709828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92.217427272312861</v>
      </c>
      <c r="E125" s="161" t="s">
        <v>130</v>
      </c>
      <c r="F125" s="236">
        <f>MAX(F108:F113)</f>
        <v>96.698375382058131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34" t="s">
        <v>26</v>
      </c>
      <c r="C127" s="534"/>
      <c r="E127" s="156" t="s">
        <v>27</v>
      </c>
      <c r="F127" s="191"/>
      <c r="G127" s="534" t="s">
        <v>28</v>
      </c>
      <c r="H127" s="534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" zoomScale="50" zoomScaleNormal="40" zoomScalePageLayoutView="50" workbookViewId="0">
      <selection activeCell="B22" sqref="B22:B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7" t="s">
        <v>45</v>
      </c>
      <c r="B1" s="527"/>
      <c r="C1" s="527"/>
      <c r="D1" s="527"/>
      <c r="E1" s="527"/>
      <c r="F1" s="527"/>
      <c r="G1" s="527"/>
      <c r="H1" s="527"/>
      <c r="I1" s="527"/>
    </row>
    <row r="2" spans="1:9" ht="18.75" customHeight="1" x14ac:dyDescent="0.25">
      <c r="A2" s="527"/>
      <c r="B2" s="527"/>
      <c r="C2" s="527"/>
      <c r="D2" s="527"/>
      <c r="E2" s="527"/>
      <c r="F2" s="527"/>
      <c r="G2" s="527"/>
      <c r="H2" s="527"/>
      <c r="I2" s="527"/>
    </row>
    <row r="3" spans="1:9" ht="18.75" customHeight="1" x14ac:dyDescent="0.25">
      <c r="A3" s="527"/>
      <c r="B3" s="527"/>
      <c r="C3" s="527"/>
      <c r="D3" s="527"/>
      <c r="E3" s="527"/>
      <c r="F3" s="527"/>
      <c r="G3" s="527"/>
      <c r="H3" s="527"/>
      <c r="I3" s="527"/>
    </row>
    <row r="4" spans="1:9" ht="18.75" customHeight="1" x14ac:dyDescent="0.25">
      <c r="A4" s="527"/>
      <c r="B4" s="527"/>
      <c r="C4" s="527"/>
      <c r="D4" s="527"/>
      <c r="E4" s="527"/>
      <c r="F4" s="527"/>
      <c r="G4" s="527"/>
      <c r="H4" s="527"/>
      <c r="I4" s="527"/>
    </row>
    <row r="5" spans="1:9" ht="18.75" customHeight="1" x14ac:dyDescent="0.25">
      <c r="A5" s="527"/>
      <c r="B5" s="527"/>
      <c r="C5" s="527"/>
      <c r="D5" s="527"/>
      <c r="E5" s="527"/>
      <c r="F5" s="527"/>
      <c r="G5" s="527"/>
      <c r="H5" s="527"/>
      <c r="I5" s="527"/>
    </row>
    <row r="6" spans="1:9" ht="18.75" customHeight="1" x14ac:dyDescent="0.25">
      <c r="A6" s="527"/>
      <c r="B6" s="527"/>
      <c r="C6" s="527"/>
      <c r="D6" s="527"/>
      <c r="E6" s="527"/>
      <c r="F6" s="527"/>
      <c r="G6" s="527"/>
      <c r="H6" s="527"/>
      <c r="I6" s="527"/>
    </row>
    <row r="7" spans="1:9" ht="18.75" customHeight="1" x14ac:dyDescent="0.25">
      <c r="A7" s="527"/>
      <c r="B7" s="527"/>
      <c r="C7" s="527"/>
      <c r="D7" s="527"/>
      <c r="E7" s="527"/>
      <c r="F7" s="527"/>
      <c r="G7" s="527"/>
      <c r="H7" s="527"/>
      <c r="I7" s="527"/>
    </row>
    <row r="8" spans="1:9" x14ac:dyDescent="0.25">
      <c r="A8" s="528" t="s">
        <v>46</v>
      </c>
      <c r="B8" s="528"/>
      <c r="C8" s="528"/>
      <c r="D8" s="528"/>
      <c r="E8" s="528"/>
      <c r="F8" s="528"/>
      <c r="G8" s="528"/>
      <c r="H8" s="528"/>
      <c r="I8" s="528"/>
    </row>
    <row r="9" spans="1:9" x14ac:dyDescent="0.25">
      <c r="A9" s="528"/>
      <c r="B9" s="528"/>
      <c r="C9" s="528"/>
      <c r="D9" s="528"/>
      <c r="E9" s="528"/>
      <c r="F9" s="528"/>
      <c r="G9" s="528"/>
      <c r="H9" s="528"/>
      <c r="I9" s="528"/>
    </row>
    <row r="10" spans="1:9" x14ac:dyDescent="0.25">
      <c r="A10" s="528"/>
      <c r="B10" s="528"/>
      <c r="C10" s="528"/>
      <c r="D10" s="528"/>
      <c r="E10" s="528"/>
      <c r="F10" s="528"/>
      <c r="G10" s="528"/>
      <c r="H10" s="528"/>
      <c r="I10" s="528"/>
    </row>
    <row r="11" spans="1:9" x14ac:dyDescent="0.25">
      <c r="A11" s="528"/>
      <c r="B11" s="528"/>
      <c r="C11" s="528"/>
      <c r="D11" s="528"/>
      <c r="E11" s="528"/>
      <c r="F11" s="528"/>
      <c r="G11" s="528"/>
      <c r="H11" s="528"/>
      <c r="I11" s="528"/>
    </row>
    <row r="12" spans="1:9" x14ac:dyDescent="0.25">
      <c r="A12" s="528"/>
      <c r="B12" s="528"/>
      <c r="C12" s="528"/>
      <c r="D12" s="528"/>
      <c r="E12" s="528"/>
      <c r="F12" s="528"/>
      <c r="G12" s="528"/>
      <c r="H12" s="528"/>
      <c r="I12" s="528"/>
    </row>
    <row r="13" spans="1:9" x14ac:dyDescent="0.25">
      <c r="A13" s="528"/>
      <c r="B13" s="528"/>
      <c r="C13" s="528"/>
      <c r="D13" s="528"/>
      <c r="E13" s="528"/>
      <c r="F13" s="528"/>
      <c r="G13" s="528"/>
      <c r="H13" s="528"/>
      <c r="I13" s="528"/>
    </row>
    <row r="14" spans="1:9" x14ac:dyDescent="0.25">
      <c r="A14" s="528"/>
      <c r="B14" s="528"/>
      <c r="C14" s="528"/>
      <c r="D14" s="528"/>
      <c r="E14" s="528"/>
      <c r="F14" s="528"/>
      <c r="G14" s="528"/>
      <c r="H14" s="528"/>
      <c r="I14" s="528"/>
    </row>
    <row r="15" spans="1:9" ht="19.5" customHeight="1" x14ac:dyDescent="0.3">
      <c r="A15" s="237"/>
    </row>
    <row r="16" spans="1:9" ht="19.5" customHeight="1" x14ac:dyDescent="0.3">
      <c r="A16" s="560" t="s">
        <v>31</v>
      </c>
      <c r="B16" s="561"/>
      <c r="C16" s="561"/>
      <c r="D16" s="561"/>
      <c r="E16" s="561"/>
      <c r="F16" s="561"/>
      <c r="G16" s="561"/>
      <c r="H16" s="562"/>
    </row>
    <row r="17" spans="1:14" ht="20.25" customHeight="1" x14ac:dyDescent="0.25">
      <c r="A17" s="563" t="s">
        <v>47</v>
      </c>
      <c r="B17" s="563"/>
      <c r="C17" s="563"/>
      <c r="D17" s="563"/>
      <c r="E17" s="563"/>
      <c r="F17" s="563"/>
      <c r="G17" s="563"/>
      <c r="H17" s="563"/>
    </row>
    <row r="18" spans="1:14" ht="26.25" customHeight="1" x14ac:dyDescent="0.4">
      <c r="A18" s="239" t="s">
        <v>33</v>
      </c>
      <c r="B18" s="559" t="s">
        <v>5</v>
      </c>
      <c r="C18" s="559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64" t="s">
        <v>134</v>
      </c>
      <c r="C20" s="564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64" t="s">
        <v>137</v>
      </c>
      <c r="C21" s="564"/>
      <c r="D21" s="564"/>
      <c r="E21" s="564"/>
      <c r="F21" s="564"/>
      <c r="G21" s="564"/>
      <c r="H21" s="564"/>
      <c r="I21" s="243"/>
    </row>
    <row r="22" spans="1:14" ht="26.25" customHeight="1" x14ac:dyDescent="0.4">
      <c r="A22" s="239" t="s">
        <v>37</v>
      </c>
      <c r="B22" s="244">
        <v>42691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42704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59" t="s">
        <v>134</v>
      </c>
      <c r="C26" s="559"/>
    </row>
    <row r="27" spans="1:14" ht="26.25" customHeight="1" x14ac:dyDescent="0.4">
      <c r="A27" s="248" t="s">
        <v>48</v>
      </c>
      <c r="B27" s="565" t="s">
        <v>132</v>
      </c>
      <c r="C27" s="565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535" t="s">
        <v>50</v>
      </c>
      <c r="D29" s="536"/>
      <c r="E29" s="536"/>
      <c r="F29" s="536"/>
      <c r="G29" s="537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38" t="s">
        <v>53</v>
      </c>
      <c r="D31" s="539"/>
      <c r="E31" s="539"/>
      <c r="F31" s="539"/>
      <c r="G31" s="539"/>
      <c r="H31" s="540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38" t="s">
        <v>55</v>
      </c>
      <c r="D32" s="539"/>
      <c r="E32" s="539"/>
      <c r="F32" s="539"/>
      <c r="G32" s="539"/>
      <c r="H32" s="540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541" t="s">
        <v>59</v>
      </c>
      <c r="E36" s="566"/>
      <c r="F36" s="541" t="s">
        <v>60</v>
      </c>
      <c r="G36" s="542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3504146</v>
      </c>
      <c r="E38" s="272">
        <f>IF(ISBLANK(D38),"-",$D$48/$D$45*D38)</f>
        <v>3792421.2096172399</v>
      </c>
      <c r="F38" s="271">
        <v>3769044</v>
      </c>
      <c r="G38" s="273">
        <f>IF(ISBLANK(F38),"-",$D$48/$F$45*F38)</f>
        <v>3774851.6092007565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3515761</v>
      </c>
      <c r="E39" s="277">
        <f>IF(ISBLANK(D39),"-",$D$48/$D$45*D39)</f>
        <v>3804991.7395979268</v>
      </c>
      <c r="F39" s="276">
        <v>3775167</v>
      </c>
      <c r="G39" s="278">
        <f>IF(ISBLANK(F39),"-",$D$48/$F$45*F39)</f>
        <v>3780984.0439516208</v>
      </c>
      <c r="I39" s="543">
        <f>ABS((F43/D43*D42)-F42)/D42</f>
        <v>4.3779968128884062E-3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3507575</v>
      </c>
      <c r="E40" s="277">
        <f>IF(ISBLANK(D40),"-",$D$48/$D$45*D40)</f>
        <v>3796132.302798796</v>
      </c>
      <c r="F40" s="276">
        <v>3785716</v>
      </c>
      <c r="G40" s="278">
        <f>IF(ISBLANK(F40),"-",$D$48/$F$45*F40)</f>
        <v>3791549.2985958909</v>
      </c>
      <c r="I40" s="543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3509160.6666666665</v>
      </c>
      <c r="E42" s="287">
        <f>AVERAGE(E38:E41)</f>
        <v>3797848.4173379876</v>
      </c>
      <c r="F42" s="286">
        <f>AVERAGE(F38:F41)</f>
        <v>3776642.3333333335</v>
      </c>
      <c r="G42" s="288">
        <f>AVERAGE(G38:G41)</f>
        <v>3782461.6505827564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18.61</v>
      </c>
      <c r="E43" s="279"/>
      <c r="F43" s="291">
        <v>20.11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18.61</v>
      </c>
      <c r="E44" s="294"/>
      <c r="F44" s="293">
        <f>F43*$B$34</f>
        <v>20.11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18.47973</v>
      </c>
      <c r="E45" s="297"/>
      <c r="F45" s="296">
        <f>F44*$B$30/100</f>
        <v>19.969229999999996</v>
      </c>
      <c r="H45" s="289"/>
    </row>
    <row r="46" spans="1:14" ht="19.5" customHeight="1" x14ac:dyDescent="0.3">
      <c r="A46" s="529" t="s">
        <v>78</v>
      </c>
      <c r="B46" s="530"/>
      <c r="C46" s="292" t="s">
        <v>79</v>
      </c>
      <c r="D46" s="298">
        <f>D45/$B$45</f>
        <v>2.9567567999999999E-2</v>
      </c>
      <c r="E46" s="299"/>
      <c r="F46" s="300">
        <f>F45/$B$45</f>
        <v>3.1950767999999991E-2</v>
      </c>
      <c r="H46" s="289"/>
    </row>
    <row r="47" spans="1:14" ht="27" customHeight="1" x14ac:dyDescent="0.4">
      <c r="A47" s="531"/>
      <c r="B47" s="532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3790155.0339603717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2.8446879821889849E-3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contains: Sulphamethoxazole B.P. 800 mg and Trimethoprim B.P. 160 mg.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 xml:space="preserve"> Trimethoprim </v>
      </c>
      <c r="H56" s="318"/>
    </row>
    <row r="57" spans="1:12" ht="18.75" x14ac:dyDescent="0.3">
      <c r="A57" s="315" t="s">
        <v>88</v>
      </c>
      <c r="B57" s="386">
        <f>Uniformity!C46</f>
        <v>1041.386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546" t="s">
        <v>94</v>
      </c>
      <c r="D60" s="549">
        <v>205.3</v>
      </c>
      <c r="E60" s="321">
        <v>1</v>
      </c>
      <c r="F60" s="322">
        <v>3629554</v>
      </c>
      <c r="G60" s="387">
        <f>IF(ISBLANK(F60),"-",(F60/$D$50*$D$47*$B$68)*($B$57/$D$60))</f>
        <v>155.44224181866122</v>
      </c>
      <c r="H60" s="405">
        <f t="shared" ref="H60:H71" si="0">IF(ISBLANK(F60),"-",(G60/$B$56)*100)</f>
        <v>97.151401136663267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547"/>
      <c r="D61" s="550"/>
      <c r="E61" s="323">
        <v>2</v>
      </c>
      <c r="F61" s="276">
        <v>3648457</v>
      </c>
      <c r="G61" s="388">
        <f>IF(ISBLANK(F61),"-",(F61/$D$50*$D$47*$B$68)*($B$57/$D$60))</f>
        <v>156.25179712410596</v>
      </c>
      <c r="H61" s="406">
        <f t="shared" si="0"/>
        <v>97.65737320256622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47"/>
      <c r="D62" s="550"/>
      <c r="E62" s="323">
        <v>3</v>
      </c>
      <c r="F62" s="324">
        <v>3629376</v>
      </c>
      <c r="G62" s="388">
        <f>IF(ISBLANK(F62),"-",(F62/$D$50*$D$47*$B$68)*($B$57/$D$60))</f>
        <v>155.43461864538875</v>
      </c>
      <c r="H62" s="406">
        <f t="shared" si="0"/>
        <v>97.146636653367963</v>
      </c>
      <c r="L62" s="251"/>
    </row>
    <row r="63" spans="1:12" ht="27" customHeight="1" x14ac:dyDescent="0.4">
      <c r="A63" s="263" t="s">
        <v>97</v>
      </c>
      <c r="B63" s="264">
        <v>1</v>
      </c>
      <c r="C63" s="556"/>
      <c r="D63" s="551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46" t="s">
        <v>99</v>
      </c>
      <c r="D64" s="549">
        <v>208.57</v>
      </c>
      <c r="E64" s="321">
        <v>1</v>
      </c>
      <c r="F64" s="322">
        <v>3708993</v>
      </c>
      <c r="G64" s="387">
        <f>IF(ISBLANK(F64),"-",(F64/$D$50*$D$47*$B$68)*($B$57/$D$64))</f>
        <v>156.35396925669227</v>
      </c>
      <c r="H64" s="405">
        <f t="shared" si="0"/>
        <v>97.721230785432667</v>
      </c>
    </row>
    <row r="65" spans="1:8" ht="26.25" customHeight="1" x14ac:dyDescent="0.4">
      <c r="A65" s="263" t="s">
        <v>100</v>
      </c>
      <c r="B65" s="264">
        <v>1</v>
      </c>
      <c r="C65" s="547"/>
      <c r="D65" s="550"/>
      <c r="E65" s="323">
        <v>2</v>
      </c>
      <c r="F65" s="276">
        <v>3689533</v>
      </c>
      <c r="G65" s="388">
        <f>IF(ISBLANK(F65),"-",(F65/$D$50*$D$47*$B$68)*($B$57/$D$64))</f>
        <v>155.53362577215745</v>
      </c>
      <c r="H65" s="406">
        <f t="shared" si="0"/>
        <v>97.208516107598413</v>
      </c>
    </row>
    <row r="66" spans="1:8" ht="26.25" customHeight="1" x14ac:dyDescent="0.4">
      <c r="A66" s="263" t="s">
        <v>101</v>
      </c>
      <c r="B66" s="264">
        <v>1</v>
      </c>
      <c r="C66" s="547"/>
      <c r="D66" s="550"/>
      <c r="E66" s="323">
        <v>3</v>
      </c>
      <c r="F66" s="276">
        <v>3689387</v>
      </c>
      <c r="G66" s="388">
        <f>IF(ISBLANK(F66),"-",(F66/$D$50*$D$47*$B$68)*($B$57/$D$64))</f>
        <v>155.52747108825497</v>
      </c>
      <c r="H66" s="406">
        <f t="shared" si="0"/>
        <v>97.204669430159356</v>
      </c>
    </row>
    <row r="67" spans="1:8" ht="27" customHeight="1" x14ac:dyDescent="0.4">
      <c r="A67" s="263" t="s">
        <v>102</v>
      </c>
      <c r="B67" s="264">
        <v>1</v>
      </c>
      <c r="C67" s="556"/>
      <c r="D67" s="551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546" t="s">
        <v>104</v>
      </c>
      <c r="D68" s="549">
        <v>206.31</v>
      </c>
      <c r="E68" s="321">
        <v>1</v>
      </c>
      <c r="F68" s="322">
        <v>3653441</v>
      </c>
      <c r="G68" s="387">
        <f>IF(ISBLANK(F68),"-",(F68/$D$50*$D$47*$B$68)*($B$57/$D$68))</f>
        <v>155.69926323890417</v>
      </c>
      <c r="H68" s="406">
        <f t="shared" si="0"/>
        <v>97.312039524315111</v>
      </c>
    </row>
    <row r="69" spans="1:8" ht="27" customHeight="1" x14ac:dyDescent="0.4">
      <c r="A69" s="311" t="s">
        <v>105</v>
      </c>
      <c r="B69" s="328">
        <f>(D47*B68)/B56*B57</f>
        <v>208.27719999999999</v>
      </c>
      <c r="C69" s="547"/>
      <c r="D69" s="550"/>
      <c r="E69" s="323">
        <v>2</v>
      </c>
      <c r="F69" s="276">
        <v>3646217</v>
      </c>
      <c r="G69" s="388">
        <f>IF(ISBLANK(F69),"-",(F69/$D$50*$D$47*$B$68)*($B$57/$D$68))</f>
        <v>155.3913969075092</v>
      </c>
      <c r="H69" s="406">
        <f t="shared" si="0"/>
        <v>97.119623067193245</v>
      </c>
    </row>
    <row r="70" spans="1:8" ht="26.25" customHeight="1" x14ac:dyDescent="0.4">
      <c r="A70" s="552" t="s">
        <v>78</v>
      </c>
      <c r="B70" s="553"/>
      <c r="C70" s="547"/>
      <c r="D70" s="550"/>
      <c r="E70" s="323">
        <v>3</v>
      </c>
      <c r="F70" s="276">
        <v>3667785</v>
      </c>
      <c r="G70" s="388">
        <f>IF(ISBLANK(F70),"-",(F70/$D$50*$D$47*$B$68)*($B$57/$D$68))</f>
        <v>156.31056371752112</v>
      </c>
      <c r="H70" s="406">
        <f t="shared" si="0"/>
        <v>97.694102323450707</v>
      </c>
    </row>
    <row r="71" spans="1:8" ht="27" customHeight="1" x14ac:dyDescent="0.4">
      <c r="A71" s="554"/>
      <c r="B71" s="555"/>
      <c r="C71" s="548"/>
      <c r="D71" s="551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155.77166084102168</v>
      </c>
      <c r="H72" s="408">
        <f>AVERAGE(H60:H71)</f>
        <v>97.357288025638553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2.635457129127587E-3</v>
      </c>
      <c r="H73" s="392">
        <f>STDEV(H60:H71)/H72</f>
        <v>2.63545712912759E-3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33" t="str">
        <f>B26</f>
        <v xml:space="preserve"> Trimethoprim </v>
      </c>
      <c r="D76" s="533"/>
      <c r="E76" s="337" t="s">
        <v>108</v>
      </c>
      <c r="F76" s="337"/>
      <c r="G76" s="338">
        <f>H72</f>
        <v>97.357288025638553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67" t="s">
        <v>131</v>
      </c>
      <c r="C79" s="567"/>
    </row>
    <row r="80" spans="1:8" ht="26.25" customHeight="1" x14ac:dyDescent="0.4">
      <c r="A80" s="248" t="s">
        <v>48</v>
      </c>
      <c r="B80" s="567" t="s">
        <v>132</v>
      </c>
      <c r="C80" s="567"/>
    </row>
    <row r="81" spans="1:12" ht="27" customHeight="1" x14ac:dyDescent="0.4">
      <c r="A81" s="248" t="s">
        <v>6</v>
      </c>
      <c r="B81" s="340">
        <v>99.3</v>
      </c>
    </row>
    <row r="82" spans="1:12" s="3" customFormat="1" ht="27" customHeight="1" x14ac:dyDescent="0.4">
      <c r="A82" s="248" t="s">
        <v>49</v>
      </c>
      <c r="B82" s="250">
        <v>0</v>
      </c>
      <c r="C82" s="535" t="s">
        <v>50</v>
      </c>
      <c r="D82" s="536"/>
      <c r="E82" s="536"/>
      <c r="F82" s="536"/>
      <c r="G82" s="537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38" t="s">
        <v>111</v>
      </c>
      <c r="D84" s="539"/>
      <c r="E84" s="539"/>
      <c r="F84" s="539"/>
      <c r="G84" s="539"/>
      <c r="H84" s="540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38" t="s">
        <v>112</v>
      </c>
      <c r="D85" s="539"/>
      <c r="E85" s="539"/>
      <c r="F85" s="539"/>
      <c r="G85" s="539"/>
      <c r="H85" s="540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541" t="s">
        <v>60</v>
      </c>
      <c r="G89" s="542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3748286</v>
      </c>
      <c r="E91" s="272">
        <f>IF(ISBLANK(D91),"-",$D$101/$D$98*D91)</f>
        <v>4247211.209833107</v>
      </c>
      <c r="F91" s="271">
        <v>3879672</v>
      </c>
      <c r="G91" s="273">
        <f>IF(ISBLANK(F91),"-",$D$101/$F$98*F91)</f>
        <v>4188263.0090971254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3739383</v>
      </c>
      <c r="E92" s="277">
        <f>IF(ISBLANK(D92),"-",$D$101/$D$98*D92)</f>
        <v>4237123.1532117222</v>
      </c>
      <c r="F92" s="276">
        <v>3889459</v>
      </c>
      <c r="G92" s="278">
        <f>IF(ISBLANK(F92),"-",$D$101/$F$98*F92)</f>
        <v>4198828.4718656363</v>
      </c>
      <c r="I92" s="543">
        <f>ABS((F96/D96*D95)-F95)/D95</f>
        <v>7.7068138137061197E-3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3714442</v>
      </c>
      <c r="E93" s="277">
        <f>IF(ISBLANK(D93),"-",$D$101/$D$98*D93)</f>
        <v>4208862.3175165681</v>
      </c>
      <c r="F93" s="276">
        <v>3902499</v>
      </c>
      <c r="G93" s="278">
        <f>IF(ISBLANK(F93),"-",$D$101/$F$98*F93)</f>
        <v>4212905.6798457503</v>
      </c>
      <c r="I93" s="543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3734037</v>
      </c>
      <c r="E95" s="287">
        <f>AVERAGE(E91:E94)</f>
        <v>4231065.5601871321</v>
      </c>
      <c r="F95" s="350">
        <f>AVERAGE(F91:F94)</f>
        <v>3890543.3333333335</v>
      </c>
      <c r="G95" s="351">
        <f>AVERAGE(G91:G94)</f>
        <v>4199999.053602837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19.75</v>
      </c>
      <c r="E96" s="279"/>
      <c r="F96" s="291">
        <v>20.73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19.75</v>
      </c>
      <c r="E97" s="294"/>
      <c r="F97" s="293">
        <f>F96*$B$87</f>
        <v>20.73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19.611750000000001</v>
      </c>
      <c r="E98" s="297"/>
      <c r="F98" s="296">
        <f>F97*$B$83/100</f>
        <v>20.584890000000001</v>
      </c>
    </row>
    <row r="99" spans="1:10" ht="19.5" customHeight="1" x14ac:dyDescent="0.3">
      <c r="A99" s="529" t="s">
        <v>78</v>
      </c>
      <c r="B99" s="544"/>
      <c r="C99" s="354" t="s">
        <v>116</v>
      </c>
      <c r="D99" s="358">
        <f>D98/$B$98</f>
        <v>3.1378799999999998E-2</v>
      </c>
      <c r="E99" s="297"/>
      <c r="F99" s="300">
        <f>F98/$B$98</f>
        <v>3.2935824000000002E-2</v>
      </c>
      <c r="G99" s="359"/>
      <c r="H99" s="289"/>
    </row>
    <row r="100" spans="1:10" ht="19.5" customHeight="1" x14ac:dyDescent="0.3">
      <c r="A100" s="531"/>
      <c r="B100" s="545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4215532.306894985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5.3505543431993496E-3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4074572</v>
      </c>
      <c r="E108" s="389">
        <f t="shared" ref="E108:E113" si="1">IF(ISBLANK(D108),"-",D108/$D$103*$D$100*$B$116)</f>
        <v>154.64986923091337</v>
      </c>
      <c r="F108" s="416">
        <f t="shared" ref="F108:F113" si="2">IF(ISBLANK(D108), "-", (E108/$B$56)*100)</f>
        <v>96.656168269320858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4093082</v>
      </c>
      <c r="E109" s="390">
        <f t="shared" si="1"/>
        <v>155.35241395940614</v>
      </c>
      <c r="F109" s="417">
        <f t="shared" si="2"/>
        <v>97.095258724628835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4082874</v>
      </c>
      <c r="E110" s="390">
        <f t="shared" si="1"/>
        <v>154.96497059968414</v>
      </c>
      <c r="F110" s="417">
        <f t="shared" si="2"/>
        <v>96.853106624802592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4102262</v>
      </c>
      <c r="E111" s="390">
        <f t="shared" si="1"/>
        <v>155.70083970805896</v>
      </c>
      <c r="F111" s="417">
        <f t="shared" si="2"/>
        <v>97.313024817536856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4089029</v>
      </c>
      <c r="E112" s="390">
        <f t="shared" si="1"/>
        <v>155.19858285272969</v>
      </c>
      <c r="F112" s="417">
        <f t="shared" si="2"/>
        <v>96.999114282956057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4107224</v>
      </c>
      <c r="E113" s="391">
        <f t="shared" si="1"/>
        <v>155.88917179572945</v>
      </c>
      <c r="F113" s="418">
        <f t="shared" si="2"/>
        <v>97.430732372330908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155.29264135775364</v>
      </c>
      <c r="F115" s="420">
        <f>AVERAGE(F108:F113)</f>
        <v>97.05790084859602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2.9585331678567074E-3</v>
      </c>
      <c r="F116" s="374">
        <f>STDEV(F108:F113)/F115</f>
        <v>2.9585331678566918E-3</v>
      </c>
      <c r="I116" s="237"/>
    </row>
    <row r="117" spans="1:10" ht="27" customHeight="1" x14ac:dyDescent="0.4">
      <c r="A117" s="529" t="s">
        <v>78</v>
      </c>
      <c r="B117" s="530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31"/>
      <c r="B118" s="532"/>
      <c r="C118" s="237"/>
      <c r="D118" s="399"/>
      <c r="E118" s="557" t="s">
        <v>123</v>
      </c>
      <c r="F118" s="558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154.64986923091337</v>
      </c>
      <c r="F119" s="421">
        <f>MIN(F108:F113)</f>
        <v>96.656168269320858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155.88917179572945</v>
      </c>
      <c r="F120" s="422">
        <f>MAX(F108:F113)</f>
        <v>97.430732372330908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33" t="str">
        <f>B26</f>
        <v xml:space="preserve"> Trimethoprim </v>
      </c>
      <c r="D124" s="533"/>
      <c r="E124" s="337" t="s">
        <v>127</v>
      </c>
      <c r="F124" s="337"/>
      <c r="G124" s="423">
        <f>F115</f>
        <v>97.05790084859602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96.656168269320858</v>
      </c>
      <c r="E125" s="348" t="s">
        <v>130</v>
      </c>
      <c r="F125" s="423">
        <f>MAX(F108:F113)</f>
        <v>97.430732372330908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34" t="s">
        <v>26</v>
      </c>
      <c r="C127" s="534"/>
      <c r="E127" s="343" t="s">
        <v>27</v>
      </c>
      <c r="F127" s="378"/>
      <c r="G127" s="534" t="s">
        <v>28</v>
      </c>
      <c r="H127" s="534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2016-12-01T08:54:24Z</dcterms:modified>
</cp:coreProperties>
</file>