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1"/>
  </bookViews>
  <sheets>
    <sheet name="SST Sulfamethoxazole" sheetId="5" r:id="rId1"/>
    <sheet name="SST Trimethoprim" sheetId="6" r:id="rId2"/>
    <sheet name="Uniformity" sheetId="2" r:id="rId3"/>
    <sheet name="Sulfamethoxazole" sheetId="3" r:id="rId4"/>
    <sheet name="Trimethoprim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42" i="6"/>
  <c r="B32" i="6"/>
  <c r="E30" i="6"/>
  <c r="D30" i="6"/>
  <c r="C30" i="6"/>
  <c r="B30" i="6"/>
  <c r="B31" i="6" s="1"/>
  <c r="B21" i="6"/>
  <c r="B53" i="5"/>
  <c r="F51" i="5"/>
  <c r="D51" i="5"/>
  <c r="C51" i="5"/>
  <c r="B51" i="5"/>
  <c r="B52" i="5" s="1"/>
  <c r="B42" i="5"/>
  <c r="B32" i="5"/>
  <c r="B31" i="5"/>
  <c r="F30" i="5"/>
  <c r="C30" i="5"/>
  <c r="B30" i="5"/>
  <c r="B21" i="5"/>
  <c r="C124" i="4" l="1"/>
  <c r="B116" i="4"/>
  <c r="D100" i="4" s="1"/>
  <c r="B98" i="4"/>
  <c r="F95" i="4"/>
  <c r="D95" i="4"/>
  <c r="B87" i="4"/>
  <c r="F97" i="4" s="1"/>
  <c r="B83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F97" i="3" s="1"/>
  <c r="B83" i="3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B57" i="4" s="1"/>
  <c r="C45" i="2"/>
  <c r="D41" i="2"/>
  <c r="D38" i="2"/>
  <c r="D37" i="2"/>
  <c r="D34" i="2"/>
  <c r="D33" i="2"/>
  <c r="D30" i="2"/>
  <c r="D29" i="2"/>
  <c r="D26" i="2"/>
  <c r="D25" i="2"/>
  <c r="C19" i="2"/>
  <c r="I39" i="4" l="1"/>
  <c r="F45" i="4"/>
  <c r="F46" i="4" s="1"/>
  <c r="B69" i="4"/>
  <c r="I39" i="3"/>
  <c r="D49" i="3"/>
  <c r="D44" i="3"/>
  <c r="F45" i="3"/>
  <c r="F46" i="3" s="1"/>
  <c r="D45" i="3"/>
  <c r="D46" i="3" s="1"/>
  <c r="I92" i="3"/>
  <c r="D101" i="3"/>
  <c r="D102" i="3" s="1"/>
  <c r="D97" i="3"/>
  <c r="D98" i="3" s="1"/>
  <c r="F98" i="3"/>
  <c r="I92" i="4"/>
  <c r="D101" i="4"/>
  <c r="D102" i="4" s="1"/>
  <c r="E38" i="3"/>
  <c r="G41" i="3"/>
  <c r="G40" i="4"/>
  <c r="D49" i="4"/>
  <c r="G41" i="4"/>
  <c r="F98" i="4"/>
  <c r="F99" i="4" s="1"/>
  <c r="D27" i="2"/>
  <c r="D31" i="2"/>
  <c r="D35" i="2"/>
  <c r="D39" i="2"/>
  <c r="D43" i="2"/>
  <c r="C49" i="2"/>
  <c r="D97" i="4"/>
  <c r="D98" i="4" s="1"/>
  <c r="D99" i="4" s="1"/>
  <c r="D24" i="2"/>
  <c r="D28" i="2"/>
  <c r="D32" i="2"/>
  <c r="D36" i="2"/>
  <c r="D40" i="2"/>
  <c r="D49" i="2"/>
  <c r="B57" i="3"/>
  <c r="B69" i="3" s="1"/>
  <c r="D44" i="4"/>
  <c r="D45" i="4" s="1"/>
  <c r="D46" i="4" s="1"/>
  <c r="C50" i="2"/>
  <c r="D42" i="2"/>
  <c r="B49" i="2"/>
  <c r="D50" i="2"/>
  <c r="G38" i="4" l="1"/>
  <c r="G42" i="4" s="1"/>
  <c r="G39" i="4"/>
  <c r="E41" i="4"/>
  <c r="E38" i="4"/>
  <c r="E40" i="3"/>
  <c r="E41" i="3"/>
  <c r="E39" i="3"/>
  <c r="G39" i="3"/>
  <c r="G40" i="3"/>
  <c r="G38" i="3"/>
  <c r="G93" i="3"/>
  <c r="G95" i="3" s="1"/>
  <c r="G92" i="3"/>
  <c r="G91" i="3"/>
  <c r="G94" i="3"/>
  <c r="F99" i="3"/>
  <c r="G92" i="4"/>
  <c r="G91" i="4"/>
  <c r="G94" i="4"/>
  <c r="D99" i="3"/>
  <c r="E92" i="3"/>
  <c r="E93" i="3"/>
  <c r="E94" i="3"/>
  <c r="E94" i="4"/>
  <c r="E39" i="4"/>
  <c r="G93" i="4"/>
  <c r="E91" i="4"/>
  <c r="E93" i="4"/>
  <c r="E92" i="4"/>
  <c r="E91" i="3"/>
  <c r="E40" i="4"/>
  <c r="D50" i="4" l="1"/>
  <c r="G68" i="4" s="1"/>
  <c r="H68" i="4" s="1"/>
  <c r="E42" i="4"/>
  <c r="D52" i="4"/>
  <c r="E42" i="3"/>
  <c r="D52" i="3"/>
  <c r="G42" i="3"/>
  <c r="D50" i="3"/>
  <c r="D51" i="3" s="1"/>
  <c r="G95" i="4"/>
  <c r="G67" i="4"/>
  <c r="H67" i="4" s="1"/>
  <c r="G63" i="4"/>
  <c r="H63" i="4" s="1"/>
  <c r="G71" i="4"/>
  <c r="H71" i="4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G70" i="3"/>
  <c r="H70" i="3" s="1"/>
  <c r="G67" i="3"/>
  <c r="H67" i="3" s="1"/>
  <c r="G65" i="3"/>
  <c r="H65" i="3" s="1"/>
  <c r="G63" i="3"/>
  <c r="H63" i="3" s="1"/>
  <c r="G61" i="3"/>
  <c r="H61" i="3" s="1"/>
  <c r="E95" i="3"/>
  <c r="D105" i="3"/>
  <c r="D103" i="3"/>
  <c r="D103" i="4"/>
  <c r="E95" i="4"/>
  <c r="D105" i="4"/>
  <c r="G70" i="4" l="1"/>
  <c r="H70" i="4" s="1"/>
  <c r="G61" i="4"/>
  <c r="H61" i="4" s="1"/>
  <c r="G66" i="4"/>
  <c r="H66" i="4" s="1"/>
  <c r="D51" i="4"/>
  <c r="G62" i="4"/>
  <c r="H62" i="4" s="1"/>
  <c r="G65" i="4"/>
  <c r="H65" i="4" s="1"/>
  <c r="G60" i="4"/>
  <c r="H60" i="4" s="1"/>
  <c r="G69" i="4"/>
  <c r="H69" i="4" s="1"/>
  <c r="G64" i="4"/>
  <c r="H64" i="4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H60" i="3"/>
  <c r="G74" i="3"/>
  <c r="G72" i="3"/>
  <c r="G73" i="3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74" i="4" l="1"/>
  <c r="G72" i="4"/>
  <c r="G73" i="4" s="1"/>
  <c r="E120" i="4"/>
  <c r="E117" i="4"/>
  <c r="F108" i="4"/>
  <c r="E115" i="4"/>
  <c r="E116" i="4" s="1"/>
  <c r="E119" i="4"/>
  <c r="H74" i="3"/>
  <c r="H72" i="3"/>
  <c r="E115" i="3"/>
  <c r="E116" i="3" s="1"/>
  <c r="E119" i="3"/>
  <c r="E120" i="3"/>
  <c r="E117" i="3"/>
  <c r="F108" i="3"/>
  <c r="H74" i="4"/>
  <c r="H72" i="4"/>
  <c r="F125" i="4" l="1"/>
  <c r="F120" i="4"/>
  <c r="F117" i="4"/>
  <c r="D125" i="4"/>
  <c r="F115" i="4"/>
  <c r="F119" i="4"/>
  <c r="F119" i="3"/>
  <c r="F125" i="3"/>
  <c r="F120" i="3"/>
  <c r="F117" i="3"/>
  <c r="D125" i="3"/>
  <c r="F115" i="3"/>
  <c r="G76" i="3"/>
  <c r="H73" i="3"/>
  <c r="G76" i="4"/>
  <c r="H73" i="4"/>
  <c r="G124" i="4" l="1"/>
  <c r="F116" i="4"/>
  <c r="G124" i="3"/>
  <c r="F116" i="3"/>
</calcChain>
</file>

<file path=xl/sharedStrings.xml><?xml version="1.0" encoding="utf-8"?>
<sst xmlns="http://schemas.openxmlformats.org/spreadsheetml/2006/main" count="458" uniqueCount="142">
  <si>
    <t>HPLC System Suitability Report</t>
  </si>
  <si>
    <t>Analysis Data</t>
  </si>
  <si>
    <t>Assay</t>
  </si>
  <si>
    <t>Sample(s)</t>
  </si>
  <si>
    <t>Reference Substance:</t>
  </si>
  <si>
    <t>SULFRAN-DS TABLETS</t>
  </si>
  <si>
    <t>% age Purity:</t>
  </si>
  <si>
    <t>NDQB201610159</t>
  </si>
  <si>
    <t>Weight (mg):</t>
  </si>
  <si>
    <t>Sulfamethoxazole BP &amp; Trimethoprim BP</t>
  </si>
  <si>
    <t>Standard Conc (mg/mL):</t>
  </si>
  <si>
    <t xml:space="preserve">Each tablet contains: Sulphamethoxazole BP 800 mg and Trimethoprim BP 160 mg.
</t>
  </si>
  <si>
    <t>2016-10-12 07:34:54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</si>
  <si>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</si>
  <si>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</si>
  <si>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</si>
  <si>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</si>
  <si>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</si>
  <si>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</si>
  <si>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</si>
  <si>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</si>
  <si>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</si>
  <si>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</si>
  <si>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</si>
  <si>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</si>
  <si>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</si>
  <si>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</si>
  <si>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</si>
  <si>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</si>
  <si>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</si>
  <si>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</si>
  <si>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</si>
  <si>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</si>
  <si>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</si>
  <si>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</si>
  <si>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</si>
  <si>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</si>
  <si>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</si>
  <si>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</si>
  <si>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</si>
  <si>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</si>
  <si>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</si>
  <si>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</si>
  <si>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</si>
  <si>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</si>
  <si>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</si>
  <si>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</si>
  <si>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</si>
  <si>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</si>
  <si>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</si>
  <si>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</si>
  <si>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</si>
  <si>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</si>
  <si>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</si>
  <si>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</si>
  <si>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</si>
  <si>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</si>
  <si>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</si>
  <si>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</si>
  <si>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</si>
  <si>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</si>
  <si>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</si>
  <si>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</si>
  <si>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</si>
  <si>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</si>
  <si>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</si>
  <si>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</si>
  <si>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</si>
  <si>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</si>
  <si>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</si>
  <si>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</si>
  <si>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</si>
  <si>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</si>
  <si>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</si>
  <si>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</si>
  <si>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</si>
  <si>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</si>
  <si>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</si>
  <si>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</si>
  <si>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</si>
  <si>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</si>
  <si>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</si>
  <si>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</si>
  <si>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</si>
  <si>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</si>
  <si>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</si>
  <si>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</si>
  <si>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</si>
  <si>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</si>
  <si>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</si>
  <si>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</si>
  <si>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</si>
  <si>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</si>
  <si>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</si>
  <si>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</si>
  <si>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</si>
  <si>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</si>
  <si>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</si>
  <si>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</si>
  <si>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</si>
  <si>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</si>
  <si>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</si>
  <si>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</si>
  <si>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</si>
  <si>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</si>
  <si>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</si>
  <si>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</si>
  <si>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</si>
  <si>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</si>
  <si>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</si>
  <si>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</si>
  <si>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</si>
  <si>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</si>
  <si>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</si>
  <si>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</si>
  <si>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</si>
  <si>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</si>
  <si>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</si>
  <si>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</si>
  <si>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</si>
  <si>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</si>
  <si>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</si>
  <si>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</si>
  <si>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</si>
  <si>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</si>
  <si>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</si>
  <si>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</si>
  <si>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</si>
  <si>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</si>
  <si>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</si>
  <si>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</si>
  <si>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</si>
  <si>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>T7-4</t>
  </si>
  <si>
    <t>Each tablet contains: Sulphamethoxazole B.P. 800 mg and Trimethoprim B.P. 160 mg.</t>
  </si>
  <si>
    <t xml:space="preserve">Sulfamethoxazole </t>
  </si>
  <si>
    <t>Sulfamethoxazole Raw Material</t>
  </si>
  <si>
    <t>NDQE201607046</t>
  </si>
  <si>
    <t>SULFRAN - DS  TABLETS</t>
  </si>
  <si>
    <t>Sulfamethoxazole</t>
  </si>
  <si>
    <t>Resolution(USP)</t>
  </si>
  <si>
    <t>RUTTO KENNEDY</t>
  </si>
  <si>
    <t>Resolution between Sulfamethoxazole and Trimethoprim is NLT 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</si>
</sst>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6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5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14" fontId="2" fillId="2" borderId="7" xfId="1" applyNumberFormat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176" fontId="7" fillId="3" borderId="3" xfId="2" applyNumberFormat="1" applyFont="1" applyFill="1" applyBorder="1" applyAlignment="1" applyProtection="1">
      <alignment horizontal="center"/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14" fontId="2" fillId="2" borderId="7" xfId="2" applyNumberFormat="1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14" workbookViewId="0">
      <selection activeCell="B37" sqref="B37"/>
    </sheetView>
  </sheetViews>
  <sheetFormatPr defaultRowHeight="13.5" x14ac:dyDescent="0.25"/>
  <cols>
    <col min="1" max="1" width="27.5703125" style="425" customWidth="1"/>
    <col min="2" max="2" width="20.42578125" style="425" customWidth="1"/>
    <col min="3" max="3" width="31.85546875" style="425" customWidth="1"/>
    <col min="4" max="5" width="25.85546875" style="425" customWidth="1"/>
    <col min="6" max="6" width="25.7109375" style="425" customWidth="1"/>
    <col min="7" max="7" width="23.140625" style="425" customWidth="1"/>
    <col min="8" max="8" width="28.42578125" style="425" customWidth="1"/>
    <col min="9" max="9" width="21.5703125" style="425" customWidth="1"/>
    <col min="10" max="10" width="9.140625" style="425" customWidth="1"/>
    <col min="11" max="16384" width="9.140625" style="427"/>
  </cols>
  <sheetData>
    <row r="14" spans="1:7" ht="15" customHeight="1" x14ac:dyDescent="0.3">
      <c r="A14" s="424"/>
      <c r="C14" s="426"/>
      <c r="G14" s="426"/>
    </row>
    <row r="15" spans="1:7" ht="18.75" customHeight="1" x14ac:dyDescent="0.3">
      <c r="A15" s="515" t="s">
        <v>0</v>
      </c>
      <c r="B15" s="515"/>
      <c r="C15" s="515"/>
      <c r="D15" s="515"/>
      <c r="E15" s="515"/>
      <c r="F15" s="515"/>
    </row>
    <row r="16" spans="1:7" ht="16.5" customHeight="1" x14ac:dyDescent="0.3">
      <c r="A16" s="428" t="s">
        <v>1</v>
      </c>
      <c r="B16" s="429" t="s">
        <v>2</v>
      </c>
    </row>
    <row r="17" spans="1:6" ht="16.5" customHeight="1" x14ac:dyDescent="0.3">
      <c r="A17" s="430" t="s">
        <v>3</v>
      </c>
      <c r="B17" s="430" t="s">
        <v>137</v>
      </c>
      <c r="D17" s="431"/>
      <c r="E17" s="431"/>
      <c r="F17" s="432"/>
    </row>
    <row r="18" spans="1:6" ht="16.5" customHeight="1" x14ac:dyDescent="0.3">
      <c r="A18" s="433" t="s">
        <v>4</v>
      </c>
      <c r="B18" s="434" t="s">
        <v>138</v>
      </c>
      <c r="C18" s="432"/>
      <c r="D18" s="432"/>
      <c r="E18" s="432"/>
      <c r="F18" s="432"/>
    </row>
    <row r="19" spans="1:6" ht="16.5" customHeight="1" x14ac:dyDescent="0.3">
      <c r="A19" s="433" t="s">
        <v>6</v>
      </c>
      <c r="B19" s="434">
        <v>99.28</v>
      </c>
      <c r="C19" s="432"/>
      <c r="D19" s="432"/>
      <c r="E19" s="432"/>
      <c r="F19" s="432"/>
    </row>
    <row r="20" spans="1:6" ht="16.5" customHeight="1" x14ac:dyDescent="0.3">
      <c r="A20" s="430" t="s">
        <v>8</v>
      </c>
      <c r="B20" s="434">
        <v>15.72</v>
      </c>
      <c r="C20" s="432"/>
      <c r="D20" s="432"/>
      <c r="E20" s="432"/>
      <c r="F20" s="432"/>
    </row>
    <row r="21" spans="1:6" ht="16.5" customHeight="1" x14ac:dyDescent="0.3">
      <c r="A21" s="430" t="s">
        <v>10</v>
      </c>
      <c r="B21" s="435">
        <f>15.72/100</f>
        <v>0.15720000000000001</v>
      </c>
      <c r="C21" s="432"/>
      <c r="D21" s="432"/>
      <c r="E21" s="432"/>
      <c r="F21" s="432"/>
    </row>
    <row r="22" spans="1:6" ht="15.75" customHeight="1" x14ac:dyDescent="0.25">
      <c r="A22" s="432"/>
      <c r="B22" s="432"/>
      <c r="C22" s="432"/>
      <c r="D22" s="432"/>
      <c r="E22" s="432"/>
      <c r="F22" s="432"/>
    </row>
    <row r="23" spans="1:6" ht="16.5" customHeight="1" x14ac:dyDescent="0.3">
      <c r="A23" s="436" t="s">
        <v>13</v>
      </c>
      <c r="B23" s="437" t="s">
        <v>14</v>
      </c>
      <c r="C23" s="436" t="s">
        <v>15</v>
      </c>
      <c r="D23" s="436" t="s">
        <v>16</v>
      </c>
      <c r="E23" s="436" t="s">
        <v>139</v>
      </c>
      <c r="F23" s="436" t="s">
        <v>17</v>
      </c>
    </row>
    <row r="24" spans="1:6" ht="16.5" customHeight="1" x14ac:dyDescent="0.3">
      <c r="A24" s="438">
        <v>1</v>
      </c>
      <c r="B24" s="439">
        <v>49982470</v>
      </c>
      <c r="C24" s="439">
        <v>8692.7999999999993</v>
      </c>
      <c r="D24" s="440">
        <v>1</v>
      </c>
      <c r="E24" s="440">
        <v>11.8</v>
      </c>
      <c r="F24" s="441">
        <v>6.5</v>
      </c>
    </row>
    <row r="25" spans="1:6" ht="16.5" customHeight="1" x14ac:dyDescent="0.3">
      <c r="A25" s="438">
        <v>2</v>
      </c>
      <c r="B25" s="439">
        <v>50074022</v>
      </c>
      <c r="C25" s="439">
        <v>8661.6</v>
      </c>
      <c r="D25" s="440">
        <v>1</v>
      </c>
      <c r="E25" s="440">
        <v>11.9</v>
      </c>
      <c r="F25" s="440">
        <v>6.5</v>
      </c>
    </row>
    <row r="26" spans="1:6" ht="16.5" customHeight="1" x14ac:dyDescent="0.3">
      <c r="A26" s="438">
        <v>3</v>
      </c>
      <c r="B26" s="439">
        <v>49823713</v>
      </c>
      <c r="C26" s="439">
        <v>8691.2000000000007</v>
      </c>
      <c r="D26" s="440">
        <v>1</v>
      </c>
      <c r="E26" s="440">
        <v>11.9</v>
      </c>
      <c r="F26" s="440">
        <v>6.5</v>
      </c>
    </row>
    <row r="27" spans="1:6" ht="16.5" customHeight="1" x14ac:dyDescent="0.3">
      <c r="A27" s="438">
        <v>4</v>
      </c>
      <c r="B27" s="439">
        <v>50027347</v>
      </c>
      <c r="C27" s="439">
        <v>8709.5</v>
      </c>
      <c r="D27" s="440">
        <v>1</v>
      </c>
      <c r="E27" s="440">
        <v>11.9</v>
      </c>
      <c r="F27" s="440">
        <v>6.5</v>
      </c>
    </row>
    <row r="28" spans="1:6" ht="16.5" customHeight="1" x14ac:dyDescent="0.3">
      <c r="A28" s="438">
        <v>5</v>
      </c>
      <c r="B28" s="439">
        <v>50005695</v>
      </c>
      <c r="C28" s="439">
        <v>8694.9</v>
      </c>
      <c r="D28" s="440">
        <v>1</v>
      </c>
      <c r="E28" s="440">
        <v>11.9</v>
      </c>
      <c r="F28" s="440">
        <v>6.5</v>
      </c>
    </row>
    <row r="29" spans="1:6" ht="16.5" customHeight="1" x14ac:dyDescent="0.3">
      <c r="A29" s="438">
        <v>6</v>
      </c>
      <c r="B29" s="442">
        <v>50024148</v>
      </c>
      <c r="C29" s="442">
        <v>8691.6</v>
      </c>
      <c r="D29" s="443">
        <v>1</v>
      </c>
      <c r="E29" s="443">
        <v>11.9</v>
      </c>
      <c r="F29" s="443">
        <v>6.5</v>
      </c>
    </row>
    <row r="30" spans="1:6" ht="16.5" customHeight="1" x14ac:dyDescent="0.3">
      <c r="A30" s="444" t="s">
        <v>18</v>
      </c>
      <c r="B30" s="445">
        <f>AVERAGE(B24:B29)</f>
        <v>49989565.833333336</v>
      </c>
      <c r="C30" s="446">
        <f>AVERAGE(C24:C29)</f>
        <v>8690.2666666666682</v>
      </c>
      <c r="D30" s="447">
        <v>1</v>
      </c>
      <c r="E30" s="447">
        <v>11.9</v>
      </c>
      <c r="F30" s="447">
        <f>AVERAGE(F24:F29)</f>
        <v>6.5</v>
      </c>
    </row>
    <row r="31" spans="1:6" ht="16.5" customHeight="1" x14ac:dyDescent="0.3">
      <c r="A31" s="448" t="s">
        <v>19</v>
      </c>
      <c r="B31" s="449">
        <f>(STDEV(B24:B29)/B30)</f>
        <v>1.7341173448102039E-3</v>
      </c>
      <c r="C31" s="450"/>
      <c r="D31" s="450"/>
      <c r="E31" s="450"/>
      <c r="F31" s="451"/>
    </row>
    <row r="32" spans="1:6" s="425" customFormat="1" ht="16.5" customHeight="1" x14ac:dyDescent="0.3">
      <c r="A32" s="452" t="s">
        <v>20</v>
      </c>
      <c r="B32" s="453">
        <f>COUNT(B24:B29)</f>
        <v>6</v>
      </c>
      <c r="C32" s="454"/>
      <c r="D32" s="455"/>
      <c r="E32" s="455"/>
      <c r="F32" s="456"/>
    </row>
    <row r="33" spans="1:6" s="425" customFormat="1" ht="15.75" customHeight="1" x14ac:dyDescent="0.25">
      <c r="A33" s="432"/>
      <c r="B33" s="432"/>
      <c r="C33" s="432"/>
      <c r="D33" s="432"/>
      <c r="E33" s="432"/>
      <c r="F33" s="432"/>
    </row>
    <row r="34" spans="1:6" s="425" customFormat="1" ht="16.5" customHeight="1" x14ac:dyDescent="0.3">
      <c r="A34" s="433" t="s">
        <v>21</v>
      </c>
      <c r="B34" s="457" t="s">
        <v>22</v>
      </c>
      <c r="C34" s="458"/>
      <c r="D34" s="458"/>
      <c r="E34" s="458"/>
      <c r="F34" s="458"/>
    </row>
    <row r="35" spans="1:6" ht="16.5" customHeight="1" x14ac:dyDescent="0.3">
      <c r="A35" s="433"/>
      <c r="B35" s="457" t="s">
        <v>23</v>
      </c>
      <c r="C35" s="458"/>
      <c r="D35" s="458"/>
      <c r="E35" s="458"/>
      <c r="F35" s="458"/>
    </row>
    <row r="36" spans="1:6" ht="16.5" customHeight="1" x14ac:dyDescent="0.3">
      <c r="A36" s="433"/>
      <c r="B36" s="457" t="s">
        <v>24</v>
      </c>
      <c r="C36" s="458"/>
      <c r="D36" s="458"/>
      <c r="E36" s="458"/>
      <c r="F36" s="458"/>
    </row>
    <row r="37" spans="1:6" ht="15.75" customHeight="1" x14ac:dyDescent="0.25">
      <c r="A37" s="432"/>
      <c r="B37" s="24" t="s">
        <v>141</v>
      </c>
      <c r="C37" s="432"/>
      <c r="D37" s="432"/>
      <c r="E37" s="432"/>
      <c r="F37" s="432"/>
    </row>
    <row r="38" spans="1:6" ht="16.5" customHeight="1" x14ac:dyDescent="0.3">
      <c r="A38" s="428" t="s">
        <v>1</v>
      </c>
      <c r="B38" s="429" t="s">
        <v>25</v>
      </c>
    </row>
    <row r="39" spans="1:6" ht="16.5" customHeight="1" x14ac:dyDescent="0.3">
      <c r="A39" s="433" t="s">
        <v>4</v>
      </c>
      <c r="B39" s="430" t="s">
        <v>138</v>
      </c>
      <c r="C39" s="432"/>
      <c r="D39" s="432"/>
      <c r="E39" s="432"/>
      <c r="F39" s="432"/>
    </row>
    <row r="40" spans="1:6" ht="16.5" customHeight="1" x14ac:dyDescent="0.3">
      <c r="A40" s="433" t="s">
        <v>6</v>
      </c>
      <c r="B40" s="434">
        <v>99.28</v>
      </c>
      <c r="C40" s="432"/>
      <c r="D40" s="432"/>
      <c r="E40" s="432"/>
      <c r="F40" s="432"/>
    </row>
    <row r="41" spans="1:6" ht="16.5" customHeight="1" x14ac:dyDescent="0.3">
      <c r="A41" s="430" t="s">
        <v>8</v>
      </c>
      <c r="B41" s="434">
        <v>16</v>
      </c>
      <c r="C41" s="432"/>
      <c r="D41" s="432"/>
      <c r="E41" s="432"/>
      <c r="F41" s="432"/>
    </row>
    <row r="42" spans="1:6" ht="16.5" customHeight="1" x14ac:dyDescent="0.3">
      <c r="A42" s="430" t="s">
        <v>10</v>
      </c>
      <c r="B42" s="435">
        <f>16/100</f>
        <v>0.16</v>
      </c>
      <c r="C42" s="432"/>
      <c r="D42" s="432"/>
      <c r="E42" s="432"/>
      <c r="F42" s="432"/>
    </row>
    <row r="43" spans="1:6" ht="15.75" customHeight="1" x14ac:dyDescent="0.25">
      <c r="A43" s="432"/>
      <c r="B43" s="432"/>
      <c r="C43" s="432"/>
      <c r="D43" s="432"/>
      <c r="E43" s="432"/>
      <c r="F43" s="432"/>
    </row>
    <row r="44" spans="1:6" ht="16.5" customHeight="1" x14ac:dyDescent="0.3">
      <c r="A44" s="436" t="s">
        <v>13</v>
      </c>
      <c r="B44" s="437" t="s">
        <v>14</v>
      </c>
      <c r="C44" s="436" t="s">
        <v>15</v>
      </c>
      <c r="D44" s="436" t="s">
        <v>16</v>
      </c>
      <c r="E44" s="436" t="s">
        <v>139</v>
      </c>
      <c r="F44" s="436" t="s">
        <v>17</v>
      </c>
    </row>
    <row r="45" spans="1:6" ht="16.5" customHeight="1" x14ac:dyDescent="0.3">
      <c r="A45" s="438">
        <v>1</v>
      </c>
      <c r="B45" s="439">
        <v>52944919</v>
      </c>
      <c r="C45" s="439">
        <v>10217</v>
      </c>
      <c r="D45" s="440">
        <v>0.9</v>
      </c>
      <c r="E45" s="440">
        <v>14.8</v>
      </c>
      <c r="F45" s="441">
        <v>6</v>
      </c>
    </row>
    <row r="46" spans="1:6" ht="16.5" customHeight="1" x14ac:dyDescent="0.3">
      <c r="A46" s="438">
        <v>2</v>
      </c>
      <c r="B46" s="439">
        <v>53136520</v>
      </c>
      <c r="C46" s="439">
        <v>10192.299999999999</v>
      </c>
      <c r="D46" s="440">
        <v>0.9</v>
      </c>
      <c r="E46" s="440">
        <v>14.8</v>
      </c>
      <c r="F46" s="440">
        <v>6</v>
      </c>
    </row>
    <row r="47" spans="1:6" ht="16.5" customHeight="1" x14ac:dyDescent="0.3">
      <c r="A47" s="438">
        <v>3</v>
      </c>
      <c r="B47" s="439">
        <v>53090949</v>
      </c>
      <c r="C47" s="439">
        <v>10241.9</v>
      </c>
      <c r="D47" s="440">
        <v>0.9</v>
      </c>
      <c r="E47" s="440">
        <v>14.8</v>
      </c>
      <c r="F47" s="440">
        <v>6</v>
      </c>
    </row>
    <row r="48" spans="1:6" ht="16.5" customHeight="1" x14ac:dyDescent="0.3">
      <c r="A48" s="438">
        <v>4</v>
      </c>
      <c r="B48" s="439">
        <v>53168860</v>
      </c>
      <c r="C48" s="439">
        <v>10243.1</v>
      </c>
      <c r="D48" s="440">
        <v>0.9</v>
      </c>
      <c r="E48" s="440">
        <v>14.8</v>
      </c>
      <c r="F48" s="440">
        <v>6</v>
      </c>
    </row>
    <row r="49" spans="1:8" ht="16.5" customHeight="1" x14ac:dyDescent="0.3">
      <c r="A49" s="438">
        <v>5</v>
      </c>
      <c r="B49" s="439">
        <v>53187978</v>
      </c>
      <c r="C49" s="439">
        <v>10221.9</v>
      </c>
      <c r="D49" s="440">
        <v>0.9</v>
      </c>
      <c r="E49" s="440">
        <v>14.8</v>
      </c>
      <c r="F49" s="440">
        <v>6</v>
      </c>
    </row>
    <row r="50" spans="1:8" ht="16.5" customHeight="1" x14ac:dyDescent="0.3">
      <c r="A50" s="438">
        <v>6</v>
      </c>
      <c r="B50" s="442">
        <v>52860956</v>
      </c>
      <c r="C50" s="442">
        <v>10219.4</v>
      </c>
      <c r="D50" s="443">
        <v>0.9</v>
      </c>
      <c r="E50" s="443">
        <v>14.8</v>
      </c>
      <c r="F50" s="443">
        <v>6</v>
      </c>
    </row>
    <row r="51" spans="1:8" ht="16.5" customHeight="1" x14ac:dyDescent="0.3">
      <c r="A51" s="444" t="s">
        <v>18</v>
      </c>
      <c r="B51" s="445">
        <f>AVERAGE(B45:B50)</f>
        <v>53065030.333333336</v>
      </c>
      <c r="C51" s="446">
        <f>AVERAGE(C45:C50)</f>
        <v>10222.6</v>
      </c>
      <c r="D51" s="447">
        <f>AVERAGE(D45:D50)</f>
        <v>0.9</v>
      </c>
      <c r="E51" s="447">
        <v>14.8</v>
      </c>
      <c r="F51" s="447">
        <f>AVERAGE(F45:F50)</f>
        <v>6</v>
      </c>
    </row>
    <row r="52" spans="1:8" ht="16.5" customHeight="1" x14ac:dyDescent="0.3">
      <c r="A52" s="448" t="s">
        <v>19</v>
      </c>
      <c r="B52" s="449">
        <f>(STDEV(B45:B50)/B51)</f>
        <v>2.4965251422415569E-3</v>
      </c>
      <c r="C52" s="450"/>
      <c r="D52" s="450"/>
      <c r="E52" s="450"/>
      <c r="F52" s="451"/>
    </row>
    <row r="53" spans="1:8" s="425" customFormat="1" ht="16.5" customHeight="1" x14ac:dyDescent="0.3">
      <c r="A53" s="452" t="s">
        <v>20</v>
      </c>
      <c r="B53" s="453">
        <f>COUNT(B45:B50)</f>
        <v>6</v>
      </c>
      <c r="C53" s="454"/>
      <c r="D53" s="455"/>
      <c r="E53" s="455"/>
      <c r="F53" s="456"/>
    </row>
    <row r="54" spans="1:8" s="425" customFormat="1" ht="15.75" customHeight="1" x14ac:dyDescent="0.25">
      <c r="A54" s="432"/>
      <c r="B54" s="432"/>
      <c r="C54" s="432"/>
      <c r="D54" s="432"/>
      <c r="E54" s="432"/>
      <c r="F54" s="432"/>
    </row>
    <row r="55" spans="1:8" s="425" customFormat="1" ht="16.5" customHeight="1" x14ac:dyDescent="0.3">
      <c r="A55" s="433" t="s">
        <v>21</v>
      </c>
      <c r="B55" s="457" t="s">
        <v>22</v>
      </c>
      <c r="C55" s="458"/>
      <c r="D55" s="458"/>
      <c r="E55" s="458"/>
      <c r="F55" s="458"/>
    </row>
    <row r="56" spans="1:8" ht="16.5" customHeight="1" x14ac:dyDescent="0.3">
      <c r="A56" s="433"/>
      <c r="B56" s="457" t="s">
        <v>23</v>
      </c>
      <c r="C56" s="458"/>
      <c r="D56" s="458"/>
      <c r="E56" s="458"/>
      <c r="F56" s="458"/>
    </row>
    <row r="57" spans="1:8" ht="16.5" customHeight="1" x14ac:dyDescent="0.3">
      <c r="A57" s="433"/>
      <c r="B57" s="457" t="s">
        <v>24</v>
      </c>
      <c r="C57" s="458"/>
      <c r="D57" s="458"/>
      <c r="E57" s="458"/>
      <c r="F57" s="458"/>
    </row>
    <row r="58" spans="1:8" ht="14.25" customHeight="1" thickBot="1" x14ac:dyDescent="0.3">
      <c r="A58" s="459"/>
      <c r="B58" s="24" t="s">
        <v>141</v>
      </c>
      <c r="D58" s="460"/>
      <c r="E58" s="461"/>
      <c r="G58" s="427"/>
      <c r="H58" s="427"/>
    </row>
    <row r="59" spans="1:8" ht="15" customHeight="1" x14ac:dyDescent="0.3">
      <c r="B59" s="516" t="s">
        <v>26</v>
      </c>
      <c r="C59" s="516"/>
      <c r="F59" s="462" t="s">
        <v>27</v>
      </c>
      <c r="G59" s="463"/>
      <c r="H59" s="462" t="s">
        <v>28</v>
      </c>
    </row>
    <row r="60" spans="1:8" ht="15" customHeight="1" x14ac:dyDescent="0.3">
      <c r="A60" s="464" t="s">
        <v>29</v>
      </c>
      <c r="B60" s="465" t="s">
        <v>140</v>
      </c>
      <c r="C60" s="465"/>
      <c r="F60" s="466">
        <v>42381</v>
      </c>
      <c r="H60" s="465"/>
    </row>
    <row r="61" spans="1:8" ht="15" customHeight="1" x14ac:dyDescent="0.3">
      <c r="A61" s="464" t="s">
        <v>30</v>
      </c>
      <c r="B61" s="467"/>
      <c r="C61" s="467"/>
      <c r="F61" s="467"/>
      <c r="H61" s="46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9" workbookViewId="0">
      <selection activeCell="E51" sqref="E51"/>
    </sheetView>
  </sheetViews>
  <sheetFormatPr defaultRowHeight="13.5" x14ac:dyDescent="0.25"/>
  <cols>
    <col min="1" max="1" width="27.5703125" style="470" customWidth="1"/>
    <col min="2" max="2" width="20.42578125" style="470" customWidth="1"/>
    <col min="3" max="3" width="31.85546875" style="470" customWidth="1"/>
    <col min="4" max="4" width="25.85546875" style="470" customWidth="1"/>
    <col min="5" max="5" width="25.7109375" style="470" customWidth="1"/>
    <col min="6" max="6" width="23.140625" style="470" customWidth="1"/>
    <col min="7" max="7" width="28.42578125" style="470" customWidth="1"/>
    <col min="8" max="8" width="21.5703125" style="470" customWidth="1"/>
    <col min="9" max="9" width="9.140625" style="470" customWidth="1"/>
    <col min="10" max="16384" width="9.140625" style="507"/>
  </cols>
  <sheetData>
    <row r="14" spans="1:6" ht="15" customHeight="1" x14ac:dyDescent="0.3">
      <c r="A14" s="469"/>
      <c r="C14" s="471"/>
      <c r="F14" s="471"/>
    </row>
    <row r="15" spans="1:6" ht="18.75" customHeight="1" x14ac:dyDescent="0.3">
      <c r="A15" s="517" t="s">
        <v>0</v>
      </c>
      <c r="B15" s="517"/>
      <c r="C15" s="517"/>
      <c r="D15" s="517"/>
      <c r="E15" s="517"/>
    </row>
    <row r="16" spans="1:6" ht="16.5" customHeight="1" x14ac:dyDescent="0.3">
      <c r="A16" s="472" t="s">
        <v>1</v>
      </c>
      <c r="B16" s="473" t="s">
        <v>2</v>
      </c>
    </row>
    <row r="17" spans="1:5" ht="16.5" customHeight="1" x14ac:dyDescent="0.3">
      <c r="A17" s="474" t="s">
        <v>3</v>
      </c>
      <c r="B17" s="474" t="s">
        <v>137</v>
      </c>
      <c r="D17" s="475"/>
      <c r="E17" s="476"/>
    </row>
    <row r="18" spans="1:5" ht="16.5" customHeight="1" x14ac:dyDescent="0.3">
      <c r="A18" s="477" t="s">
        <v>4</v>
      </c>
      <c r="B18" s="478" t="s">
        <v>131</v>
      </c>
      <c r="C18" s="476"/>
      <c r="D18" s="476"/>
      <c r="E18" s="476"/>
    </row>
    <row r="19" spans="1:5" ht="16.5" customHeight="1" x14ac:dyDescent="0.3">
      <c r="A19" s="477" t="s">
        <v>6</v>
      </c>
      <c r="B19" s="478">
        <v>99.3</v>
      </c>
      <c r="C19" s="476"/>
      <c r="D19" s="476"/>
      <c r="E19" s="476"/>
    </row>
    <row r="20" spans="1:5" ht="16.5" customHeight="1" x14ac:dyDescent="0.3">
      <c r="A20" s="474" t="s">
        <v>8</v>
      </c>
      <c r="B20" s="478">
        <v>18.61</v>
      </c>
      <c r="C20" s="476"/>
      <c r="D20" s="476"/>
      <c r="E20" s="476"/>
    </row>
    <row r="21" spans="1:5" ht="16.5" customHeight="1" x14ac:dyDescent="0.3">
      <c r="A21" s="474" t="s">
        <v>10</v>
      </c>
      <c r="B21" s="479">
        <f>18.61/25*4/100</f>
        <v>2.9775999999999997E-2</v>
      </c>
      <c r="C21" s="476"/>
      <c r="D21" s="476"/>
      <c r="E21" s="476"/>
    </row>
    <row r="22" spans="1:5" ht="15.75" customHeight="1" x14ac:dyDescent="0.25">
      <c r="A22" s="476"/>
      <c r="B22" s="476"/>
      <c r="C22" s="476"/>
      <c r="D22" s="476"/>
      <c r="E22" s="476"/>
    </row>
    <row r="23" spans="1:5" ht="16.5" customHeight="1" x14ac:dyDescent="0.3">
      <c r="A23" s="480" t="s">
        <v>13</v>
      </c>
      <c r="B23" s="481" t="s">
        <v>14</v>
      </c>
      <c r="C23" s="480" t="s">
        <v>15</v>
      </c>
      <c r="D23" s="480" t="s">
        <v>16</v>
      </c>
      <c r="E23" s="480" t="s">
        <v>17</v>
      </c>
    </row>
    <row r="24" spans="1:5" ht="16.5" customHeight="1" x14ac:dyDescent="0.3">
      <c r="A24" s="482">
        <v>1</v>
      </c>
      <c r="B24" s="483">
        <v>3519753</v>
      </c>
      <c r="C24" s="483">
        <v>8692.7999999999993</v>
      </c>
      <c r="D24" s="484">
        <v>1.5</v>
      </c>
      <c r="E24" s="485">
        <v>3.6</v>
      </c>
    </row>
    <row r="25" spans="1:5" ht="16.5" customHeight="1" x14ac:dyDescent="0.3">
      <c r="A25" s="482">
        <v>2</v>
      </c>
      <c r="B25" s="483">
        <v>3525724</v>
      </c>
      <c r="C25" s="483">
        <v>8661.6</v>
      </c>
      <c r="D25" s="484">
        <v>1.5</v>
      </c>
      <c r="E25" s="484">
        <v>3.6</v>
      </c>
    </row>
    <row r="26" spans="1:5" ht="16.5" customHeight="1" x14ac:dyDescent="0.3">
      <c r="A26" s="482">
        <v>3</v>
      </c>
      <c r="B26" s="483">
        <v>3505315</v>
      </c>
      <c r="C26" s="483">
        <v>8691.2000000000007</v>
      </c>
      <c r="D26" s="484">
        <v>1.5</v>
      </c>
      <c r="E26" s="484">
        <v>3.6</v>
      </c>
    </row>
    <row r="27" spans="1:5" ht="16.5" customHeight="1" x14ac:dyDescent="0.3">
      <c r="A27" s="482">
        <v>4</v>
      </c>
      <c r="B27" s="483">
        <v>3517605</v>
      </c>
      <c r="C27" s="483">
        <v>8709.5</v>
      </c>
      <c r="D27" s="484">
        <v>1.4</v>
      </c>
      <c r="E27" s="484">
        <v>3.6</v>
      </c>
    </row>
    <row r="28" spans="1:5" ht="16.5" customHeight="1" x14ac:dyDescent="0.3">
      <c r="A28" s="482">
        <v>5</v>
      </c>
      <c r="B28" s="483">
        <v>3516256</v>
      </c>
      <c r="C28" s="483">
        <v>8694.9</v>
      </c>
      <c r="D28" s="484">
        <v>1.4</v>
      </c>
      <c r="E28" s="484">
        <v>3.6</v>
      </c>
    </row>
    <row r="29" spans="1:5" ht="16.5" customHeight="1" x14ac:dyDescent="0.3">
      <c r="A29" s="482">
        <v>6</v>
      </c>
      <c r="B29" s="486">
        <v>3518021</v>
      </c>
      <c r="C29" s="486">
        <v>8691.6</v>
      </c>
      <c r="D29" s="487">
        <v>1.5</v>
      </c>
      <c r="E29" s="487">
        <v>3.6</v>
      </c>
    </row>
    <row r="30" spans="1:5" ht="16.5" customHeight="1" x14ac:dyDescent="0.3">
      <c r="A30" s="488" t="s">
        <v>18</v>
      </c>
      <c r="B30" s="489">
        <f>AVERAGE(B24:B29)</f>
        <v>3517112.3333333335</v>
      </c>
      <c r="C30" s="490">
        <f>AVERAGE(C24:C29)</f>
        <v>8690.2666666666682</v>
      </c>
      <c r="D30" s="491">
        <f>AVERAGE(D24:D29)</f>
        <v>1.4666666666666668</v>
      </c>
      <c r="E30" s="491">
        <f>AVERAGE(E24:E29)</f>
        <v>3.6</v>
      </c>
    </row>
    <row r="31" spans="1:5" ht="16.5" customHeight="1" x14ac:dyDescent="0.3">
      <c r="A31" s="492" t="s">
        <v>19</v>
      </c>
      <c r="B31" s="493">
        <f>(STDEV(B24:B29)/B30)</f>
        <v>1.8950272238096564E-3</v>
      </c>
      <c r="C31" s="494"/>
      <c r="D31" s="494"/>
      <c r="E31" s="495"/>
    </row>
    <row r="32" spans="1:5" s="470" customFormat="1" ht="16.5" customHeight="1" x14ac:dyDescent="0.3">
      <c r="A32" s="496" t="s">
        <v>20</v>
      </c>
      <c r="B32" s="497">
        <f>COUNT(B24:B29)</f>
        <v>6</v>
      </c>
      <c r="C32" s="498"/>
      <c r="D32" s="499"/>
      <c r="E32" s="500"/>
    </row>
    <row r="33" spans="1:5" s="470" customFormat="1" ht="15.75" customHeight="1" x14ac:dyDescent="0.25">
      <c r="A33" s="476"/>
      <c r="B33" s="476"/>
      <c r="C33" s="476"/>
      <c r="D33" s="476"/>
      <c r="E33" s="476"/>
    </row>
    <row r="34" spans="1:5" s="470" customFormat="1" ht="16.5" customHeight="1" x14ac:dyDescent="0.3">
      <c r="A34" s="477" t="s">
        <v>21</v>
      </c>
      <c r="B34" s="501" t="s">
        <v>22</v>
      </c>
      <c r="C34" s="502"/>
      <c r="D34" s="502"/>
      <c r="E34" s="502"/>
    </row>
    <row r="35" spans="1:5" ht="16.5" customHeight="1" x14ac:dyDescent="0.3">
      <c r="A35" s="477"/>
      <c r="B35" s="501" t="s">
        <v>23</v>
      </c>
      <c r="C35" s="502"/>
      <c r="D35" s="502"/>
      <c r="E35" s="502"/>
    </row>
    <row r="36" spans="1:5" ht="16.5" customHeight="1" x14ac:dyDescent="0.3">
      <c r="A36" s="477"/>
      <c r="B36" s="501" t="s">
        <v>24</v>
      </c>
      <c r="C36" s="502"/>
      <c r="D36" s="502"/>
      <c r="E36" s="502"/>
    </row>
    <row r="37" spans="1:5" ht="15.75" customHeight="1" x14ac:dyDescent="0.25">
      <c r="A37" s="476"/>
      <c r="B37" s="476"/>
      <c r="C37" s="476"/>
      <c r="D37" s="476"/>
      <c r="E37" s="476"/>
    </row>
    <row r="38" spans="1:5" ht="16.5" customHeight="1" x14ac:dyDescent="0.3">
      <c r="A38" s="472" t="s">
        <v>1</v>
      </c>
      <c r="B38" s="473" t="s">
        <v>25</v>
      </c>
    </row>
    <row r="39" spans="1:5" ht="16.5" customHeight="1" x14ac:dyDescent="0.3">
      <c r="A39" s="477" t="s">
        <v>4</v>
      </c>
      <c r="B39" s="478" t="s">
        <v>131</v>
      </c>
      <c r="C39" s="476"/>
      <c r="D39" s="476"/>
      <c r="E39" s="476"/>
    </row>
    <row r="40" spans="1:5" ht="16.5" customHeight="1" x14ac:dyDescent="0.3">
      <c r="A40" s="477" t="s">
        <v>6</v>
      </c>
      <c r="B40" s="478">
        <v>99.3</v>
      </c>
      <c r="C40" s="476"/>
      <c r="D40" s="476"/>
      <c r="E40" s="476"/>
    </row>
    <row r="41" spans="1:5" ht="16.5" customHeight="1" x14ac:dyDescent="0.3">
      <c r="A41" s="474" t="s">
        <v>8</v>
      </c>
      <c r="B41" s="478">
        <v>19.75</v>
      </c>
      <c r="C41" s="476"/>
      <c r="D41" s="476"/>
      <c r="E41" s="476"/>
    </row>
    <row r="42" spans="1:5" ht="16.5" customHeight="1" x14ac:dyDescent="0.3">
      <c r="A42" s="474" t="s">
        <v>10</v>
      </c>
      <c r="B42" s="479">
        <f>19.75/25*4/100</f>
        <v>3.1600000000000003E-2</v>
      </c>
      <c r="C42" s="476"/>
      <c r="D42" s="476"/>
      <c r="E42" s="476"/>
    </row>
    <row r="43" spans="1:5" ht="15.75" customHeight="1" x14ac:dyDescent="0.25">
      <c r="A43" s="476"/>
      <c r="B43" s="476"/>
      <c r="C43" s="476"/>
      <c r="D43" s="476"/>
      <c r="E43" s="476"/>
    </row>
    <row r="44" spans="1:5" ht="16.5" customHeight="1" x14ac:dyDescent="0.3">
      <c r="A44" s="480" t="s">
        <v>13</v>
      </c>
      <c r="B44" s="481" t="s">
        <v>14</v>
      </c>
      <c r="C44" s="480" t="s">
        <v>15</v>
      </c>
      <c r="D44" s="480" t="s">
        <v>16</v>
      </c>
      <c r="E44" s="480" t="s">
        <v>17</v>
      </c>
    </row>
    <row r="45" spans="1:5" ht="16.5" customHeight="1" x14ac:dyDescent="0.3">
      <c r="A45" s="482">
        <v>1</v>
      </c>
      <c r="B45" s="483">
        <v>3716035</v>
      </c>
      <c r="C45" s="503">
        <v>10217</v>
      </c>
      <c r="D45" s="484">
        <v>1</v>
      </c>
      <c r="E45" s="485">
        <v>3.1</v>
      </c>
    </row>
    <row r="46" spans="1:5" ht="16.5" customHeight="1" x14ac:dyDescent="0.3">
      <c r="A46" s="482">
        <v>2</v>
      </c>
      <c r="B46" s="483">
        <v>3727845</v>
      </c>
      <c r="C46" s="483">
        <v>10192.299999999999</v>
      </c>
      <c r="D46" s="484">
        <v>1</v>
      </c>
      <c r="E46" s="484">
        <v>3.1</v>
      </c>
    </row>
    <row r="47" spans="1:5" ht="16.5" customHeight="1" x14ac:dyDescent="0.3">
      <c r="A47" s="482">
        <v>3</v>
      </c>
      <c r="B47" s="483">
        <v>3726878</v>
      </c>
      <c r="C47" s="483">
        <v>10241.9</v>
      </c>
      <c r="D47" s="484">
        <v>1.1000000000000001</v>
      </c>
      <c r="E47" s="484">
        <v>3.1</v>
      </c>
    </row>
    <row r="48" spans="1:5" ht="16.5" customHeight="1" x14ac:dyDescent="0.3">
      <c r="A48" s="482">
        <v>4</v>
      </c>
      <c r="B48" s="483">
        <v>3731827</v>
      </c>
      <c r="C48" s="483">
        <v>10243.1</v>
      </c>
      <c r="D48" s="484">
        <v>1</v>
      </c>
      <c r="E48" s="484">
        <v>3.1</v>
      </c>
    </row>
    <row r="49" spans="1:7" ht="16.5" customHeight="1" x14ac:dyDescent="0.3">
      <c r="A49" s="482">
        <v>5</v>
      </c>
      <c r="B49" s="483">
        <v>3729470</v>
      </c>
      <c r="C49" s="483">
        <v>10221.9</v>
      </c>
      <c r="D49" s="484">
        <v>1</v>
      </c>
      <c r="E49" s="484">
        <v>3.1</v>
      </c>
    </row>
    <row r="50" spans="1:7" ht="16.5" customHeight="1" x14ac:dyDescent="0.3">
      <c r="A50" s="482">
        <v>6</v>
      </c>
      <c r="B50" s="486">
        <v>3704826</v>
      </c>
      <c r="C50" s="486">
        <v>10219.4</v>
      </c>
      <c r="D50" s="487">
        <v>1</v>
      </c>
      <c r="E50" s="487">
        <v>3.1</v>
      </c>
    </row>
    <row r="51" spans="1:7" ht="16.5" customHeight="1" x14ac:dyDescent="0.3">
      <c r="A51" s="488" t="s">
        <v>18</v>
      </c>
      <c r="B51" s="489">
        <f>AVERAGE(B45:B50)</f>
        <v>3722813.5</v>
      </c>
      <c r="C51" s="490">
        <f>AVERAGE(C45:C50)</f>
        <v>10222.6</v>
      </c>
      <c r="D51" s="491">
        <f>AVERAGE(D45:D50)</f>
        <v>1.0166666666666666</v>
      </c>
      <c r="E51" s="491">
        <f>AVERAGE(E45:E50)</f>
        <v>3.1</v>
      </c>
    </row>
    <row r="52" spans="1:7" ht="16.5" customHeight="1" x14ac:dyDescent="0.3">
      <c r="A52" s="492" t="s">
        <v>19</v>
      </c>
      <c r="B52" s="493">
        <f>(STDEV(B45:B50)/B51)</f>
        <v>2.7834599576153952E-3</v>
      </c>
      <c r="C52" s="494"/>
      <c r="D52" s="494"/>
      <c r="E52" s="495"/>
    </row>
    <row r="53" spans="1:7" s="470" customFormat="1" ht="16.5" customHeight="1" x14ac:dyDescent="0.3">
      <c r="A53" s="496" t="s">
        <v>20</v>
      </c>
      <c r="B53" s="497">
        <f>COUNT(B45:B50)</f>
        <v>6</v>
      </c>
      <c r="C53" s="498"/>
      <c r="D53" s="499"/>
      <c r="E53" s="500"/>
    </row>
    <row r="54" spans="1:7" s="470" customFormat="1" ht="15.75" customHeight="1" x14ac:dyDescent="0.25">
      <c r="A54" s="476"/>
      <c r="B54" s="476"/>
      <c r="C54" s="476"/>
      <c r="D54" s="476"/>
      <c r="E54" s="476"/>
    </row>
    <row r="55" spans="1:7" s="470" customFormat="1" ht="16.5" customHeight="1" x14ac:dyDescent="0.3">
      <c r="A55" s="477" t="s">
        <v>21</v>
      </c>
      <c r="B55" s="501" t="s">
        <v>22</v>
      </c>
      <c r="C55" s="502"/>
      <c r="D55" s="502"/>
      <c r="E55" s="502"/>
    </row>
    <row r="56" spans="1:7" ht="16.5" customHeight="1" x14ac:dyDescent="0.3">
      <c r="A56" s="477"/>
      <c r="B56" s="501" t="s">
        <v>23</v>
      </c>
      <c r="C56" s="502"/>
      <c r="D56" s="502"/>
      <c r="E56" s="502"/>
    </row>
    <row r="57" spans="1:7" ht="16.5" customHeight="1" x14ac:dyDescent="0.3">
      <c r="A57" s="477"/>
      <c r="B57" s="501" t="s">
        <v>24</v>
      </c>
      <c r="C57" s="502"/>
      <c r="D57" s="502"/>
      <c r="E57" s="502"/>
    </row>
    <row r="58" spans="1:7" ht="14.25" customHeight="1" thickBot="1" x14ac:dyDescent="0.3">
      <c r="A58" s="504"/>
      <c r="B58" s="505"/>
      <c r="D58" s="506"/>
      <c r="F58" s="507"/>
      <c r="G58" s="507"/>
    </row>
    <row r="59" spans="1:7" ht="15" customHeight="1" x14ac:dyDescent="0.3">
      <c r="B59" s="518" t="s">
        <v>26</v>
      </c>
      <c r="C59" s="518"/>
      <c r="E59" s="508" t="s">
        <v>27</v>
      </c>
      <c r="F59" s="509"/>
      <c r="G59" s="508" t="s">
        <v>28</v>
      </c>
    </row>
    <row r="60" spans="1:7" ht="15" customHeight="1" x14ac:dyDescent="0.3">
      <c r="A60" s="510" t="s">
        <v>29</v>
      </c>
      <c r="B60" s="511" t="s">
        <v>140</v>
      </c>
      <c r="C60" s="511"/>
      <c r="E60" s="512">
        <v>42381</v>
      </c>
      <c r="G60" s="511"/>
    </row>
    <row r="61" spans="1:7" ht="15" customHeight="1" x14ac:dyDescent="0.3">
      <c r="A61" s="510" t="s">
        <v>30</v>
      </c>
      <c r="B61" s="513"/>
      <c r="C61" s="513"/>
      <c r="E61" s="513"/>
      <c r="G61" s="51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22" t="s">
        <v>31</v>
      </c>
      <c r="B11" s="523"/>
      <c r="C11" s="523"/>
      <c r="D11" s="523"/>
      <c r="E11" s="523"/>
      <c r="F11" s="524"/>
      <c r="G11" s="43"/>
    </row>
    <row r="12" spans="1:7" ht="16.5" customHeight="1" x14ac:dyDescent="0.3">
      <c r="A12" s="521" t="s">
        <v>32</v>
      </c>
      <c r="B12" s="521"/>
      <c r="C12" s="521"/>
      <c r="D12" s="521"/>
      <c r="E12" s="521"/>
      <c r="F12" s="521"/>
      <c r="G12" s="42"/>
    </row>
    <row r="14" spans="1:7" ht="16.5" customHeight="1" x14ac:dyDescent="0.3">
      <c r="A14" s="526" t="s">
        <v>33</v>
      </c>
      <c r="B14" s="526"/>
      <c r="C14" s="12" t="s">
        <v>5</v>
      </c>
    </row>
    <row r="15" spans="1:7" ht="16.5" customHeight="1" x14ac:dyDescent="0.3">
      <c r="A15" s="526" t="s">
        <v>34</v>
      </c>
      <c r="B15" s="526"/>
      <c r="C15" s="12" t="s">
        <v>7</v>
      </c>
    </row>
    <row r="16" spans="1:7" ht="16.5" customHeight="1" x14ac:dyDescent="0.3">
      <c r="A16" s="526" t="s">
        <v>35</v>
      </c>
      <c r="B16" s="526"/>
      <c r="C16" s="12" t="s">
        <v>9</v>
      </c>
    </row>
    <row r="17" spans="1:5" ht="16.5" customHeight="1" x14ac:dyDescent="0.3">
      <c r="A17" s="526" t="s">
        <v>36</v>
      </c>
      <c r="B17" s="526"/>
      <c r="C17" s="12" t="s">
        <v>11</v>
      </c>
    </row>
    <row r="18" spans="1:5" ht="16.5" customHeight="1" x14ac:dyDescent="0.3">
      <c r="A18" s="526" t="s">
        <v>37</v>
      </c>
      <c r="B18" s="526"/>
      <c r="C18" s="49" t="s">
        <v>12</v>
      </c>
    </row>
    <row r="19" spans="1:5" ht="16.5" customHeight="1" x14ac:dyDescent="0.3">
      <c r="A19" s="526" t="s">
        <v>38</v>
      </c>
      <c r="B19" s="526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21" t="s">
        <v>1</v>
      </c>
      <c r="B21" s="521"/>
      <c r="C21" s="11" t="s">
        <v>39</v>
      </c>
      <c r="D21" s="18"/>
    </row>
    <row r="22" spans="1:5" ht="15.75" customHeight="1" x14ac:dyDescent="0.3">
      <c r="A22" s="525"/>
      <c r="B22" s="525"/>
      <c r="C22" s="9"/>
      <c r="D22" s="525"/>
      <c r="E22" s="525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1047.43</v>
      </c>
      <c r="D24" s="39">
        <f t="shared" ref="D24:D43" si="0">(C24-$C$46)/$C$46</f>
        <v>5.4837323938590476E-3</v>
      </c>
      <c r="E24" s="5"/>
    </row>
    <row r="25" spans="1:5" ht="15.75" customHeight="1" x14ac:dyDescent="0.3">
      <c r="C25" s="47">
        <v>1034.78</v>
      </c>
      <c r="D25" s="40">
        <f t="shared" si="0"/>
        <v>-6.6596750078598338E-3</v>
      </c>
      <c r="E25" s="5"/>
    </row>
    <row r="26" spans="1:5" ht="15.75" customHeight="1" x14ac:dyDescent="0.3">
      <c r="C26" s="47">
        <v>1040.67</v>
      </c>
      <c r="D26" s="40">
        <f t="shared" si="0"/>
        <v>-1.0055509291147812E-3</v>
      </c>
      <c r="E26" s="5"/>
    </row>
    <row r="27" spans="1:5" ht="15.75" customHeight="1" x14ac:dyDescent="0.3">
      <c r="C27" s="47">
        <v>1037.26</v>
      </c>
      <c r="D27" s="40">
        <f t="shared" si="0"/>
        <v>-4.2789911852303608E-3</v>
      </c>
      <c r="E27" s="5"/>
    </row>
    <row r="28" spans="1:5" ht="15.75" customHeight="1" x14ac:dyDescent="0.3">
      <c r="C28" s="47">
        <v>1033.18</v>
      </c>
      <c r="D28" s="40">
        <f t="shared" si="0"/>
        <v>-8.1956000547174588E-3</v>
      </c>
      <c r="E28" s="5"/>
    </row>
    <row r="29" spans="1:5" ht="15.75" customHeight="1" x14ac:dyDescent="0.3">
      <c r="C29" s="47">
        <v>1037.8800000000001</v>
      </c>
      <c r="D29" s="40">
        <f t="shared" si="0"/>
        <v>-3.6838202295728832E-3</v>
      </c>
      <c r="E29" s="5"/>
    </row>
    <row r="30" spans="1:5" ht="15.75" customHeight="1" x14ac:dyDescent="0.3">
      <c r="C30" s="47">
        <v>1032.9100000000001</v>
      </c>
      <c r="D30" s="40">
        <f t="shared" si="0"/>
        <v>-8.4547874063746805E-3</v>
      </c>
      <c r="E30" s="5"/>
    </row>
    <row r="31" spans="1:5" ht="15.75" customHeight="1" x14ac:dyDescent="0.3">
      <c r="C31" s="47">
        <v>1041.77</v>
      </c>
      <c r="D31" s="40">
        <f t="shared" si="0"/>
        <v>5.0397540599809173E-5</v>
      </c>
      <c r="E31" s="5"/>
    </row>
    <row r="32" spans="1:5" ht="15.75" customHeight="1" x14ac:dyDescent="0.3">
      <c r="C32" s="47">
        <v>1040.0999999999999</v>
      </c>
      <c r="D32" s="40">
        <f t="shared" si="0"/>
        <v>-1.5527242270579986E-3</v>
      </c>
      <c r="E32" s="5"/>
    </row>
    <row r="33" spans="1:7" ht="15.75" customHeight="1" x14ac:dyDescent="0.3">
      <c r="C33" s="47">
        <v>1043.51</v>
      </c>
      <c r="D33" s="40">
        <f t="shared" si="0"/>
        <v>1.7207160290575809E-3</v>
      </c>
      <c r="E33" s="5"/>
    </row>
    <row r="34" spans="1:7" ht="15.75" customHeight="1" x14ac:dyDescent="0.3">
      <c r="C34" s="47">
        <v>1036.58</v>
      </c>
      <c r="D34" s="40">
        <f t="shared" si="0"/>
        <v>-4.9317593301449495E-3</v>
      </c>
      <c r="E34" s="5"/>
    </row>
    <row r="35" spans="1:7" ht="15.75" customHeight="1" x14ac:dyDescent="0.3">
      <c r="C35" s="47">
        <v>1042.25</v>
      </c>
      <c r="D35" s="40">
        <f t="shared" si="0"/>
        <v>5.1117505465714057E-4</v>
      </c>
      <c r="E35" s="5"/>
    </row>
    <row r="36" spans="1:7" ht="15.75" customHeight="1" x14ac:dyDescent="0.3">
      <c r="C36" s="47">
        <v>1039.58</v>
      </c>
      <c r="D36" s="40">
        <f t="shared" si="0"/>
        <v>-2.0518998672867379E-3</v>
      </c>
      <c r="E36" s="5"/>
    </row>
    <row r="37" spans="1:7" ht="15.75" customHeight="1" x14ac:dyDescent="0.3">
      <c r="C37" s="47">
        <v>1041.74</v>
      </c>
      <c r="D37" s="40">
        <f t="shared" si="0"/>
        <v>2.1598945971253243E-5</v>
      </c>
      <c r="E37" s="5"/>
    </row>
    <row r="38" spans="1:7" ht="15.75" customHeight="1" x14ac:dyDescent="0.3">
      <c r="C38" s="47">
        <v>1036.9100000000001</v>
      </c>
      <c r="D38" s="40">
        <f t="shared" si="0"/>
        <v>-4.614974789230398E-3</v>
      </c>
      <c r="E38" s="5"/>
    </row>
    <row r="39" spans="1:7" ht="15.75" customHeight="1" x14ac:dyDescent="0.3">
      <c r="C39" s="47">
        <v>1051.1300000000001</v>
      </c>
      <c r="D39" s="40">
        <f t="shared" si="0"/>
        <v>9.0355590647175528E-3</v>
      </c>
      <c r="E39" s="5"/>
    </row>
    <row r="40" spans="1:7" ht="15.75" customHeight="1" x14ac:dyDescent="0.3">
      <c r="C40" s="47">
        <v>1043.3399999999999</v>
      </c>
      <c r="D40" s="40">
        <f t="shared" si="0"/>
        <v>1.5575239928288789E-3</v>
      </c>
      <c r="E40" s="5"/>
    </row>
    <row r="41" spans="1:7" ht="15.75" customHeight="1" x14ac:dyDescent="0.3">
      <c r="C41" s="47">
        <v>1052.8</v>
      </c>
      <c r="D41" s="40">
        <f t="shared" si="0"/>
        <v>1.0638680832375142E-2</v>
      </c>
      <c r="E41" s="5"/>
    </row>
    <row r="42" spans="1:7" ht="15.75" customHeight="1" x14ac:dyDescent="0.3">
      <c r="C42" s="47">
        <v>1050.33</v>
      </c>
      <c r="D42" s="40">
        <f t="shared" si="0"/>
        <v>8.2675965412885213E-3</v>
      </c>
      <c r="E42" s="5"/>
    </row>
    <row r="43" spans="1:7" ht="16.5" customHeight="1" x14ac:dyDescent="0.3">
      <c r="C43" s="48">
        <v>1050.2</v>
      </c>
      <c r="D43" s="41">
        <f t="shared" si="0"/>
        <v>8.1428026312314467E-3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20834.350000000002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1041.7175000000002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19">
        <f>C46</f>
        <v>1041.7175000000002</v>
      </c>
      <c r="C49" s="45">
        <f>-IF(C46&lt;=80,10%,IF(C46&lt;250,7.5%,5%))</f>
        <v>-0.05</v>
      </c>
      <c r="D49" s="33">
        <f>IF(C46&lt;=80,C46*0.9,IF(C46&lt;250,C46*0.925,C46*0.95))</f>
        <v>989.6316250000001</v>
      </c>
    </row>
    <row r="50" spans="1:6" ht="17.25" customHeight="1" x14ac:dyDescent="0.3">
      <c r="B50" s="520"/>
      <c r="C50" s="46">
        <f>IF(C46&lt;=80, 10%, IF(C46&lt;250, 7.5%, 5%))</f>
        <v>0.05</v>
      </c>
      <c r="D50" s="33">
        <f>IF(C46&lt;=80, C46*1.1, IF(C46&lt;250, C46*1.075, C46*1.05))</f>
        <v>1093.8033750000002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" zoomScale="50" zoomScaleNormal="40" zoomScalePageLayoutView="50" workbookViewId="0">
      <selection activeCell="B21" sqref="B21:H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7" t="s">
        <v>45</v>
      </c>
      <c r="B1" s="527"/>
      <c r="C1" s="527"/>
      <c r="D1" s="527"/>
      <c r="E1" s="527"/>
      <c r="F1" s="527"/>
      <c r="G1" s="527"/>
      <c r="H1" s="527"/>
      <c r="I1" s="527"/>
    </row>
    <row r="2" spans="1:9" ht="18.75" customHeight="1" x14ac:dyDescent="0.25">
      <c r="A2" s="527"/>
      <c r="B2" s="527"/>
      <c r="C2" s="527"/>
      <c r="D2" s="527"/>
      <c r="E2" s="527"/>
      <c r="F2" s="527"/>
      <c r="G2" s="527"/>
      <c r="H2" s="527"/>
      <c r="I2" s="527"/>
    </row>
    <row r="3" spans="1:9" ht="18.75" customHeight="1" x14ac:dyDescent="0.25">
      <c r="A3" s="527"/>
      <c r="B3" s="527"/>
      <c r="C3" s="527"/>
      <c r="D3" s="527"/>
      <c r="E3" s="527"/>
      <c r="F3" s="527"/>
      <c r="G3" s="527"/>
      <c r="H3" s="527"/>
      <c r="I3" s="527"/>
    </row>
    <row r="4" spans="1:9" ht="18.75" customHeight="1" x14ac:dyDescent="0.25">
      <c r="A4" s="527"/>
      <c r="B4" s="527"/>
      <c r="C4" s="527"/>
      <c r="D4" s="527"/>
      <c r="E4" s="527"/>
      <c r="F4" s="527"/>
      <c r="G4" s="527"/>
      <c r="H4" s="527"/>
      <c r="I4" s="527"/>
    </row>
    <row r="5" spans="1:9" ht="18.75" customHeight="1" x14ac:dyDescent="0.25">
      <c r="A5" s="527"/>
      <c r="B5" s="527"/>
      <c r="C5" s="527"/>
      <c r="D5" s="527"/>
      <c r="E5" s="527"/>
      <c r="F5" s="527"/>
      <c r="G5" s="527"/>
      <c r="H5" s="527"/>
      <c r="I5" s="527"/>
    </row>
    <row r="6" spans="1:9" ht="18.75" customHeight="1" x14ac:dyDescent="0.25">
      <c r="A6" s="527"/>
      <c r="B6" s="527"/>
      <c r="C6" s="527"/>
      <c r="D6" s="527"/>
      <c r="E6" s="527"/>
      <c r="F6" s="527"/>
      <c r="G6" s="527"/>
      <c r="H6" s="527"/>
      <c r="I6" s="527"/>
    </row>
    <row r="7" spans="1:9" ht="18.75" customHeight="1" x14ac:dyDescent="0.25">
      <c r="A7" s="527"/>
      <c r="B7" s="527"/>
      <c r="C7" s="527"/>
      <c r="D7" s="527"/>
      <c r="E7" s="527"/>
      <c r="F7" s="527"/>
      <c r="G7" s="527"/>
      <c r="H7" s="527"/>
      <c r="I7" s="527"/>
    </row>
    <row r="8" spans="1:9" x14ac:dyDescent="0.25">
      <c r="A8" s="528" t="s">
        <v>46</v>
      </c>
      <c r="B8" s="528"/>
      <c r="C8" s="528"/>
      <c r="D8" s="528"/>
      <c r="E8" s="528"/>
      <c r="F8" s="528"/>
      <c r="G8" s="528"/>
      <c r="H8" s="528"/>
      <c r="I8" s="528"/>
    </row>
    <row r="9" spans="1:9" x14ac:dyDescent="0.25">
      <c r="A9" s="528"/>
      <c r="B9" s="528"/>
      <c r="C9" s="528"/>
      <c r="D9" s="528"/>
      <c r="E9" s="528"/>
      <c r="F9" s="528"/>
      <c r="G9" s="528"/>
      <c r="H9" s="528"/>
      <c r="I9" s="528"/>
    </row>
    <row r="10" spans="1:9" x14ac:dyDescent="0.25">
      <c r="A10" s="528"/>
      <c r="B10" s="528"/>
      <c r="C10" s="528"/>
      <c r="D10" s="528"/>
      <c r="E10" s="528"/>
      <c r="F10" s="528"/>
      <c r="G10" s="528"/>
      <c r="H10" s="528"/>
      <c r="I10" s="528"/>
    </row>
    <row r="11" spans="1:9" x14ac:dyDescent="0.25">
      <c r="A11" s="528"/>
      <c r="B11" s="528"/>
      <c r="C11" s="528"/>
      <c r="D11" s="528"/>
      <c r="E11" s="528"/>
      <c r="F11" s="528"/>
      <c r="G11" s="528"/>
      <c r="H11" s="528"/>
      <c r="I11" s="528"/>
    </row>
    <row r="12" spans="1:9" x14ac:dyDescent="0.25">
      <c r="A12" s="528"/>
      <c r="B12" s="528"/>
      <c r="C12" s="528"/>
      <c r="D12" s="528"/>
      <c r="E12" s="528"/>
      <c r="F12" s="528"/>
      <c r="G12" s="528"/>
      <c r="H12" s="528"/>
      <c r="I12" s="528"/>
    </row>
    <row r="13" spans="1:9" x14ac:dyDescent="0.25">
      <c r="A13" s="528"/>
      <c r="B13" s="528"/>
      <c r="C13" s="528"/>
      <c r="D13" s="528"/>
      <c r="E13" s="528"/>
      <c r="F13" s="528"/>
      <c r="G13" s="528"/>
      <c r="H13" s="528"/>
      <c r="I13" s="528"/>
    </row>
    <row r="14" spans="1:9" x14ac:dyDescent="0.25">
      <c r="A14" s="528"/>
      <c r="B14" s="528"/>
      <c r="C14" s="528"/>
      <c r="D14" s="528"/>
      <c r="E14" s="528"/>
      <c r="F14" s="528"/>
      <c r="G14" s="528"/>
      <c r="H14" s="528"/>
      <c r="I14" s="528"/>
    </row>
    <row r="15" spans="1:9" ht="19.5" customHeight="1" x14ac:dyDescent="0.3">
      <c r="A15" s="50"/>
    </row>
    <row r="16" spans="1:9" ht="19.5" customHeight="1" x14ac:dyDescent="0.3">
      <c r="A16" s="560" t="s">
        <v>31</v>
      </c>
      <c r="B16" s="561"/>
      <c r="C16" s="561"/>
      <c r="D16" s="561"/>
      <c r="E16" s="561"/>
      <c r="F16" s="561"/>
      <c r="G16" s="561"/>
      <c r="H16" s="562"/>
    </row>
    <row r="17" spans="1:14" ht="20.25" customHeight="1" x14ac:dyDescent="0.25">
      <c r="A17" s="563" t="s">
        <v>47</v>
      </c>
      <c r="B17" s="563"/>
      <c r="C17" s="563"/>
      <c r="D17" s="563"/>
      <c r="E17" s="563"/>
      <c r="F17" s="563"/>
      <c r="G17" s="563"/>
      <c r="H17" s="563"/>
    </row>
    <row r="18" spans="1:14" ht="26.25" customHeight="1" x14ac:dyDescent="0.4">
      <c r="A18" s="52" t="s">
        <v>33</v>
      </c>
      <c r="B18" s="559" t="s">
        <v>5</v>
      </c>
      <c r="C18" s="559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64" t="s">
        <v>134</v>
      </c>
      <c r="C20" s="564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64" t="s">
        <v>133</v>
      </c>
      <c r="C21" s="564"/>
      <c r="D21" s="564"/>
      <c r="E21" s="564"/>
      <c r="F21" s="564"/>
      <c r="G21" s="564"/>
      <c r="H21" s="564"/>
      <c r="I21" s="56"/>
    </row>
    <row r="22" spans="1:14" ht="26.25" customHeight="1" x14ac:dyDescent="0.4">
      <c r="A22" s="52" t="s">
        <v>37</v>
      </c>
      <c r="B22" s="57">
        <v>42691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42704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59" t="s">
        <v>135</v>
      </c>
      <c r="C26" s="559"/>
    </row>
    <row r="27" spans="1:14" ht="26.25" customHeight="1" x14ac:dyDescent="0.4">
      <c r="A27" s="61" t="s">
        <v>48</v>
      </c>
      <c r="B27" s="565" t="s">
        <v>136</v>
      </c>
      <c r="C27" s="565"/>
    </row>
    <row r="28" spans="1:14" ht="27" customHeight="1" x14ac:dyDescent="0.4">
      <c r="A28" s="61" t="s">
        <v>6</v>
      </c>
      <c r="B28" s="62">
        <v>99.28</v>
      </c>
    </row>
    <row r="29" spans="1:14" s="3" customFormat="1" ht="27" customHeight="1" x14ac:dyDescent="0.4">
      <c r="A29" s="61" t="s">
        <v>49</v>
      </c>
      <c r="B29" s="63">
        <v>0</v>
      </c>
      <c r="C29" s="535" t="s">
        <v>50</v>
      </c>
      <c r="D29" s="536"/>
      <c r="E29" s="536"/>
      <c r="F29" s="536"/>
      <c r="G29" s="537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99.28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538" t="s">
        <v>53</v>
      </c>
      <c r="D31" s="539"/>
      <c r="E31" s="539"/>
      <c r="F31" s="539"/>
      <c r="G31" s="539"/>
      <c r="H31" s="540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538" t="s">
        <v>55</v>
      </c>
      <c r="D32" s="539"/>
      <c r="E32" s="539"/>
      <c r="F32" s="539"/>
      <c r="G32" s="539"/>
      <c r="H32" s="540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541" t="s">
        <v>59</v>
      </c>
      <c r="E36" s="566"/>
      <c r="F36" s="541" t="s">
        <v>60</v>
      </c>
      <c r="G36" s="542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49805608</v>
      </c>
      <c r="E38" s="85">
        <f>IF(ISBLANK(D38),"-",$D$48/$D$45*D38)</f>
        <v>6382545.6774783526</v>
      </c>
      <c r="F38" s="84">
        <v>52870972</v>
      </c>
      <c r="G38" s="86">
        <f>IF(ISBLANK(F38),"-",$D$48/$F$45*F38)</f>
        <v>6412330.3680539625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49960607</v>
      </c>
      <c r="E39" s="90">
        <f>IF(ISBLANK(D39),"-",$D$48/$D$45*D39)</f>
        <v>6402408.6655471548</v>
      </c>
      <c r="F39" s="89">
        <v>52971996</v>
      </c>
      <c r="G39" s="91">
        <f>IF(ISBLANK(F39),"-",$D$48/$F$45*F39)</f>
        <v>6424582.8241484389</v>
      </c>
      <c r="I39" s="543">
        <f>ABS((F43/D43*D42)-F42)/D42</f>
        <v>6.0184678899433078E-3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49868065</v>
      </c>
      <c r="E40" s="90">
        <f>IF(ISBLANK(D40),"-",$D$48/$D$45*D40)</f>
        <v>6390549.4881210867</v>
      </c>
      <c r="F40" s="89">
        <v>53163542</v>
      </c>
      <c r="G40" s="91">
        <f>IF(ISBLANK(F40),"-",$D$48/$F$45*F40)</f>
        <v>6447814.0261902567</v>
      </c>
      <c r="I40" s="54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49878093.333333336</v>
      </c>
      <c r="E42" s="100">
        <f>AVERAGE(E38:E41)</f>
        <v>6391834.6103821984</v>
      </c>
      <c r="F42" s="99">
        <f>AVERAGE(F38:F41)</f>
        <v>53002170</v>
      </c>
      <c r="G42" s="101">
        <f>AVERAGE(G38:G41)</f>
        <v>6428242.4061308848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15.72</v>
      </c>
      <c r="E43" s="92"/>
      <c r="F43" s="104">
        <v>16.61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15.72</v>
      </c>
      <c r="E44" s="107"/>
      <c r="F44" s="106">
        <f>F43*$B$34</f>
        <v>16.61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15.606816000000002</v>
      </c>
      <c r="E45" s="110"/>
      <c r="F45" s="109">
        <f>F44*$B$30/100</f>
        <v>16.490407999999999</v>
      </c>
      <c r="H45" s="102"/>
    </row>
    <row r="46" spans="1:14" ht="19.5" customHeight="1" x14ac:dyDescent="0.3">
      <c r="A46" s="529" t="s">
        <v>78</v>
      </c>
      <c r="B46" s="530"/>
      <c r="C46" s="105" t="s">
        <v>79</v>
      </c>
      <c r="D46" s="111">
        <f>D45/$B$45</f>
        <v>0.15606816000000001</v>
      </c>
      <c r="E46" s="112"/>
      <c r="F46" s="113">
        <f>F45/$B$45</f>
        <v>0.16490407999999998</v>
      </c>
      <c r="H46" s="102"/>
    </row>
    <row r="47" spans="1:14" ht="27" customHeight="1" x14ac:dyDescent="0.4">
      <c r="A47" s="531"/>
      <c r="B47" s="532"/>
      <c r="C47" s="114" t="s">
        <v>80</v>
      </c>
      <c r="D47" s="115">
        <v>0.02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2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2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6410038.5082565425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3.7165110641121601E-3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tablet contains: Sulphamethoxazole B.P. 800 mg and Trimethoprim B.P. 160 mg.</v>
      </c>
    </row>
    <row r="56" spans="1:12" ht="26.25" customHeight="1" x14ac:dyDescent="0.4">
      <c r="A56" s="129" t="s">
        <v>87</v>
      </c>
      <c r="B56" s="130">
        <v>800</v>
      </c>
      <c r="C56" s="51" t="str">
        <f>B20</f>
        <v xml:space="preserve">Sulfamethoxazole </v>
      </c>
      <c r="H56" s="131"/>
    </row>
    <row r="57" spans="1:12" ht="18.75" x14ac:dyDescent="0.3">
      <c r="A57" s="128" t="s">
        <v>88</v>
      </c>
      <c r="B57" s="199">
        <f>Uniformity!C46</f>
        <v>1041.7175000000002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546" t="s">
        <v>94</v>
      </c>
      <c r="D60" s="549">
        <v>202.21</v>
      </c>
      <c r="E60" s="134">
        <v>1</v>
      </c>
      <c r="F60" s="135">
        <v>48623262</v>
      </c>
      <c r="G60" s="200">
        <f>IF(ISBLANK(F60),"-",(F60/$D$50*$D$47*$B$68)*($B$57/$D$60))</f>
        <v>781.557219291156</v>
      </c>
      <c r="H60" s="218">
        <f t="shared" ref="H60:H71" si="0">IF(ISBLANK(F60),"-",(G60/$B$56)*100)</f>
        <v>97.6946524113945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547"/>
      <c r="D61" s="550"/>
      <c r="E61" s="136">
        <v>2</v>
      </c>
      <c r="F61" s="89">
        <v>48409689</v>
      </c>
      <c r="G61" s="201">
        <f>IF(ISBLANK(F61),"-",(F61/$D$50*$D$47*$B$68)*($B$57/$D$60))</f>
        <v>778.12430440371645</v>
      </c>
      <c r="H61" s="219">
        <f t="shared" si="0"/>
        <v>97.265538050464556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47"/>
      <c r="D62" s="550"/>
      <c r="E62" s="136">
        <v>3</v>
      </c>
      <c r="F62" s="137">
        <v>48526086</v>
      </c>
      <c r="G62" s="201">
        <f>IF(ISBLANK(F62),"-",(F62/$D$50*$D$47*$B$68)*($B$57/$D$60))</f>
        <v>779.99523843635779</v>
      </c>
      <c r="H62" s="219">
        <f t="shared" si="0"/>
        <v>97.499404804544724</v>
      </c>
      <c r="L62" s="64"/>
    </row>
    <row r="63" spans="1:12" ht="27" customHeight="1" x14ac:dyDescent="0.4">
      <c r="A63" s="76" t="s">
        <v>97</v>
      </c>
      <c r="B63" s="77">
        <v>1</v>
      </c>
      <c r="C63" s="556"/>
      <c r="D63" s="551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46" t="s">
        <v>99</v>
      </c>
      <c r="D64" s="549">
        <v>208.81</v>
      </c>
      <c r="E64" s="134">
        <v>1</v>
      </c>
      <c r="F64" s="135">
        <v>49793658</v>
      </c>
      <c r="G64" s="200">
        <f>IF(ISBLANK(F64),"-",(F64/$D$50*$D$47*$B$68)*($B$57/$D$64))</f>
        <v>775.07201402907788</v>
      </c>
      <c r="H64" s="218">
        <f t="shared" si="0"/>
        <v>96.884001753634735</v>
      </c>
    </row>
    <row r="65" spans="1:8" ht="26.25" customHeight="1" x14ac:dyDescent="0.4">
      <c r="A65" s="76" t="s">
        <v>100</v>
      </c>
      <c r="B65" s="77">
        <v>1</v>
      </c>
      <c r="C65" s="547"/>
      <c r="D65" s="550"/>
      <c r="E65" s="136">
        <v>2</v>
      </c>
      <c r="F65" s="89">
        <v>50039036</v>
      </c>
      <c r="G65" s="201">
        <f>IF(ISBLANK(F65),"-",(F65/$D$50*$D$47*$B$68)*($B$57/$D$64))</f>
        <v>778.89148880352457</v>
      </c>
      <c r="H65" s="219">
        <f t="shared" si="0"/>
        <v>97.361436100440571</v>
      </c>
    </row>
    <row r="66" spans="1:8" ht="26.25" customHeight="1" x14ac:dyDescent="0.4">
      <c r="A66" s="76" t="s">
        <v>101</v>
      </c>
      <c r="B66" s="77">
        <v>1</v>
      </c>
      <c r="C66" s="547"/>
      <c r="D66" s="550"/>
      <c r="E66" s="136">
        <v>3</v>
      </c>
      <c r="F66" s="89">
        <v>50033969</v>
      </c>
      <c r="G66" s="201">
        <f>IF(ISBLANK(F66),"-",(F66/$D$50*$D$47*$B$68)*($B$57/$D$64))</f>
        <v>778.81261751644047</v>
      </c>
      <c r="H66" s="219">
        <f t="shared" si="0"/>
        <v>97.351577189555059</v>
      </c>
    </row>
    <row r="67" spans="1:8" ht="27" customHeight="1" x14ac:dyDescent="0.4">
      <c r="A67" s="76" t="s">
        <v>102</v>
      </c>
      <c r="B67" s="77">
        <v>1</v>
      </c>
      <c r="C67" s="556"/>
      <c r="D67" s="551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546" t="s">
        <v>104</v>
      </c>
      <c r="D68" s="549">
        <v>213.04</v>
      </c>
      <c r="E68" s="134">
        <v>1</v>
      </c>
      <c r="F68" s="135">
        <v>50914870</v>
      </c>
      <c r="G68" s="200">
        <f>IF(ISBLANK(F68),"-",(F68/$D$50*$D$47*$B$68)*($B$57/$D$68))</f>
        <v>776.78852774718132</v>
      </c>
      <c r="H68" s="219">
        <f t="shared" si="0"/>
        <v>97.098565968397665</v>
      </c>
    </row>
    <row r="69" spans="1:8" ht="27" customHeight="1" x14ac:dyDescent="0.4">
      <c r="A69" s="124" t="s">
        <v>105</v>
      </c>
      <c r="B69" s="141">
        <f>(D47*B68)/B56*B57</f>
        <v>26.042937500000008</v>
      </c>
      <c r="C69" s="547"/>
      <c r="D69" s="550"/>
      <c r="E69" s="136">
        <v>2</v>
      </c>
      <c r="F69" s="89">
        <v>51280096</v>
      </c>
      <c r="G69" s="201">
        <f>IF(ISBLANK(F69),"-",(F69/$D$50*$D$47*$B$68)*($B$57/$D$68))</f>
        <v>782.36063991863523</v>
      </c>
      <c r="H69" s="219">
        <f t="shared" si="0"/>
        <v>97.795079989829404</v>
      </c>
    </row>
    <row r="70" spans="1:8" ht="26.25" customHeight="1" x14ac:dyDescent="0.4">
      <c r="A70" s="552" t="s">
        <v>78</v>
      </c>
      <c r="B70" s="553"/>
      <c r="C70" s="547"/>
      <c r="D70" s="550"/>
      <c r="E70" s="136">
        <v>3</v>
      </c>
      <c r="F70" s="89">
        <v>51045069</v>
      </c>
      <c r="G70" s="201">
        <f>IF(ISBLANK(F70),"-",(F70/$D$50*$D$47*$B$68)*($B$57/$D$68))</f>
        <v>778.77492365714158</v>
      </c>
      <c r="H70" s="219">
        <f t="shared" si="0"/>
        <v>97.346865457142698</v>
      </c>
    </row>
    <row r="71" spans="1:8" ht="27" customHeight="1" x14ac:dyDescent="0.4">
      <c r="A71" s="554"/>
      <c r="B71" s="555"/>
      <c r="C71" s="548"/>
      <c r="D71" s="551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778.93077486702578</v>
      </c>
      <c r="H72" s="221">
        <f>AVERAGE(H60:H71)</f>
        <v>97.366346858378222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2.869422492142836E-3</v>
      </c>
      <c r="H73" s="205">
        <f>STDEV(H60:H71)/H72</f>
        <v>2.869422492142836E-3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533" t="str">
        <f>B26</f>
        <v>Sulfamethoxazole Raw Material</v>
      </c>
      <c r="D76" s="533"/>
      <c r="E76" s="150" t="s">
        <v>108</v>
      </c>
      <c r="F76" s="150"/>
      <c r="G76" s="151">
        <f>H72</f>
        <v>97.366346858378222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67" t="str">
        <f>B26</f>
        <v>Sulfamethoxazole Raw Material</v>
      </c>
      <c r="C79" s="567"/>
    </row>
    <row r="80" spans="1:8" ht="26.25" customHeight="1" x14ac:dyDescent="0.4">
      <c r="A80" s="61" t="s">
        <v>48</v>
      </c>
      <c r="B80" s="567" t="str">
        <f>B27</f>
        <v>NDQE201607046</v>
      </c>
      <c r="C80" s="567"/>
    </row>
    <row r="81" spans="1:12" ht="27" customHeight="1" x14ac:dyDescent="0.4">
      <c r="A81" s="61" t="s">
        <v>6</v>
      </c>
      <c r="B81" s="153">
        <v>99.28</v>
      </c>
    </row>
    <row r="82" spans="1:12" s="3" customFormat="1" ht="27" customHeight="1" x14ac:dyDescent="0.4">
      <c r="A82" s="61" t="s">
        <v>49</v>
      </c>
      <c r="B82" s="63">
        <v>0</v>
      </c>
      <c r="C82" s="535" t="s">
        <v>50</v>
      </c>
      <c r="D82" s="536"/>
      <c r="E82" s="536"/>
      <c r="F82" s="536"/>
      <c r="G82" s="537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99.28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538" t="s">
        <v>111</v>
      </c>
      <c r="D84" s="539"/>
      <c r="E84" s="539"/>
      <c r="F84" s="539"/>
      <c r="G84" s="539"/>
      <c r="H84" s="540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538" t="s">
        <v>112</v>
      </c>
      <c r="D85" s="539"/>
      <c r="E85" s="539"/>
      <c r="F85" s="539"/>
      <c r="G85" s="539"/>
      <c r="H85" s="540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54" t="s">
        <v>59</v>
      </c>
      <c r="E89" s="155"/>
      <c r="F89" s="541" t="s">
        <v>60</v>
      </c>
      <c r="G89" s="542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53346095</v>
      </c>
      <c r="E91" s="85">
        <f>IF(ISBLANK(D91),"-",$D$101/$D$98*D91)</f>
        <v>59703302.66809921</v>
      </c>
      <c r="F91" s="84">
        <v>54418631</v>
      </c>
      <c r="G91" s="86">
        <f>IF(ISBLANK(F91),"-",$D$101/$F$98*F91)</f>
        <v>58038024.394394197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53293876</v>
      </c>
      <c r="E92" s="90">
        <f>IF(ISBLANK(D92),"-",$D$101/$D$98*D92)</f>
        <v>59644860.775360376</v>
      </c>
      <c r="F92" s="89">
        <v>54485077</v>
      </c>
      <c r="G92" s="91">
        <f>IF(ISBLANK(F92),"-",$D$101/$F$98*F92)</f>
        <v>58108889.730365433</v>
      </c>
      <c r="I92" s="543">
        <f>ABS((F96/D96*D95)-F95)/D95</f>
        <v>2.4158532241995538E-2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52925478</v>
      </c>
      <c r="E93" s="90">
        <f>IF(ISBLANK(D93),"-",$D$101/$D$98*D93)</f>
        <v>59232561.106634438</v>
      </c>
      <c r="F93" s="89">
        <v>54685418</v>
      </c>
      <c r="G93" s="91">
        <f>IF(ISBLANK(F93),"-",$D$101/$F$98*F93)</f>
        <v>58322555.44799801</v>
      </c>
      <c r="I93" s="543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53188483</v>
      </c>
      <c r="E95" s="100">
        <f>AVERAGE(E91:E94)</f>
        <v>59526908.183364667</v>
      </c>
      <c r="F95" s="163">
        <f>AVERAGE(F91:F94)</f>
        <v>54529708.666666664</v>
      </c>
      <c r="G95" s="164">
        <f>AVERAGE(G91:G94)</f>
        <v>58156489.857585877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16</v>
      </c>
      <c r="E96" s="92"/>
      <c r="F96" s="104">
        <v>16.79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16</v>
      </c>
      <c r="E97" s="107"/>
      <c r="F97" s="106">
        <f>F96*$B$87</f>
        <v>16.79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15.8848</v>
      </c>
      <c r="E98" s="110"/>
      <c r="F98" s="109">
        <f>F97*$B$83/100</f>
        <v>16.669111999999998</v>
      </c>
    </row>
    <row r="99" spans="1:10" ht="19.5" customHeight="1" x14ac:dyDescent="0.3">
      <c r="A99" s="529" t="s">
        <v>78</v>
      </c>
      <c r="B99" s="544"/>
      <c r="C99" s="167" t="s">
        <v>116</v>
      </c>
      <c r="D99" s="171">
        <f>D98/$B$98</f>
        <v>0.15884799999999999</v>
      </c>
      <c r="E99" s="110"/>
      <c r="F99" s="113">
        <f>F98/$B$98</f>
        <v>0.16669111999999997</v>
      </c>
      <c r="G99" s="172"/>
      <c r="H99" s="102"/>
    </row>
    <row r="100" spans="1:10" ht="19.5" customHeight="1" x14ac:dyDescent="0.3">
      <c r="A100" s="531"/>
      <c r="B100" s="545"/>
      <c r="C100" s="167" t="s">
        <v>80</v>
      </c>
      <c r="D100" s="173">
        <f>$B$56/$B$116</f>
        <v>0.17777777777777778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17.777777777777779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17.777777777777779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58841699.020475268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1.3147864948497082E-2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10</v>
      </c>
      <c r="C108" s="227">
        <v>1</v>
      </c>
      <c r="D108" s="228">
        <v>56307444</v>
      </c>
      <c r="E108" s="202">
        <f t="shared" ref="E108:E113" si="1">IF(ISBLANK(D108),"-",D108/$D$103*$D$100*$B$116)</f>
        <v>765.54477436698869</v>
      </c>
      <c r="F108" s="229">
        <f t="shared" ref="F108:F113" si="2">IF(ISBLANK(D108), "-", (E108/$B$56)*100)</f>
        <v>95.693096795873586</v>
      </c>
    </row>
    <row r="109" spans="1:10" ht="26.25" customHeight="1" x14ac:dyDescent="0.4">
      <c r="A109" s="76" t="s">
        <v>95</v>
      </c>
      <c r="B109" s="77">
        <v>50</v>
      </c>
      <c r="C109" s="223">
        <v>2</v>
      </c>
      <c r="D109" s="225">
        <v>56257564</v>
      </c>
      <c r="E109" s="203">
        <f t="shared" si="1"/>
        <v>764.86661583886541</v>
      </c>
      <c r="F109" s="230">
        <f t="shared" si="2"/>
        <v>95.608326979858177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56245235</v>
      </c>
      <c r="E110" s="203">
        <f t="shared" si="1"/>
        <v>764.6989932147028</v>
      </c>
      <c r="F110" s="230">
        <f t="shared" si="2"/>
        <v>95.587374151837849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55937706</v>
      </c>
      <c r="E111" s="203">
        <f t="shared" si="1"/>
        <v>760.51789028777353</v>
      </c>
      <c r="F111" s="230">
        <f t="shared" si="2"/>
        <v>95.064736285971691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55931240</v>
      </c>
      <c r="E112" s="203">
        <f t="shared" si="1"/>
        <v>760.42997984184649</v>
      </c>
      <c r="F112" s="230">
        <f t="shared" si="2"/>
        <v>95.053747480230811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56006731</v>
      </c>
      <c r="E113" s="204">
        <f t="shared" si="1"/>
        <v>761.45634041615585</v>
      </c>
      <c r="F113" s="231">
        <f t="shared" si="2"/>
        <v>95.182042552019482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762.91909899438872</v>
      </c>
      <c r="F115" s="233">
        <f>AVERAGE(F108:F113)</f>
        <v>95.36488737429859</v>
      </c>
    </row>
    <row r="116" spans="1:10" ht="27" customHeight="1" x14ac:dyDescent="0.4">
      <c r="A116" s="76" t="s">
        <v>103</v>
      </c>
      <c r="B116" s="108">
        <f>(B115/B114)*(B113/B112)*(B111/B110)*(B109/B108)*B107</f>
        <v>4500</v>
      </c>
      <c r="C116" s="186"/>
      <c r="D116" s="210" t="s">
        <v>84</v>
      </c>
      <c r="E116" s="208">
        <f>STDEV(E108:E113)/E115</f>
        <v>3.0993851866213101E-3</v>
      </c>
      <c r="F116" s="187">
        <f>STDEV(F108:F113)/F115</f>
        <v>3.0993851866213101E-3</v>
      </c>
      <c r="I116" s="50"/>
    </row>
    <row r="117" spans="1:10" ht="27" customHeight="1" x14ac:dyDescent="0.4">
      <c r="A117" s="529" t="s">
        <v>78</v>
      </c>
      <c r="B117" s="530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531"/>
      <c r="B118" s="532"/>
      <c r="C118" s="50"/>
      <c r="D118" s="212"/>
      <c r="E118" s="557" t="s">
        <v>123</v>
      </c>
      <c r="F118" s="558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760.42997984184649</v>
      </c>
      <c r="F119" s="234">
        <f>MIN(F108:F113)</f>
        <v>95.053747480230811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765.54477436698869</v>
      </c>
      <c r="F120" s="235">
        <f>MAX(F108:F113)</f>
        <v>95.693096795873586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33" t="str">
        <f>B26</f>
        <v>Sulfamethoxazole Raw Material</v>
      </c>
      <c r="D124" s="533"/>
      <c r="E124" s="150" t="s">
        <v>127</v>
      </c>
      <c r="F124" s="150"/>
      <c r="G124" s="236">
        <f>F115</f>
        <v>95.36488737429859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95.053747480230811</v>
      </c>
      <c r="E125" s="161" t="s">
        <v>130</v>
      </c>
      <c r="F125" s="236">
        <f>MAX(F108:F113)</f>
        <v>95.693096795873586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34" t="s">
        <v>26</v>
      </c>
      <c r="C127" s="534"/>
      <c r="E127" s="156" t="s">
        <v>27</v>
      </c>
      <c r="F127" s="191"/>
      <c r="G127" s="534" t="s">
        <v>28</v>
      </c>
      <c r="H127" s="534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52" zoomScale="50" zoomScaleNormal="40" zoomScalePageLayoutView="50" workbookViewId="0">
      <selection activeCell="B28" sqref="B2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7" t="s">
        <v>45</v>
      </c>
      <c r="B1" s="527"/>
      <c r="C1" s="527"/>
      <c r="D1" s="527"/>
      <c r="E1" s="527"/>
      <c r="F1" s="527"/>
      <c r="G1" s="527"/>
      <c r="H1" s="527"/>
      <c r="I1" s="527"/>
    </row>
    <row r="2" spans="1:9" ht="18.75" customHeight="1" x14ac:dyDescent="0.25">
      <c r="A2" s="527"/>
      <c r="B2" s="527"/>
      <c r="C2" s="527"/>
      <c r="D2" s="527"/>
      <c r="E2" s="527"/>
      <c r="F2" s="527"/>
      <c r="G2" s="527"/>
      <c r="H2" s="527"/>
      <c r="I2" s="527"/>
    </row>
    <row r="3" spans="1:9" ht="18.75" customHeight="1" x14ac:dyDescent="0.25">
      <c r="A3" s="527"/>
      <c r="B3" s="527"/>
      <c r="C3" s="527"/>
      <c r="D3" s="527"/>
      <c r="E3" s="527"/>
      <c r="F3" s="527"/>
      <c r="G3" s="527"/>
      <c r="H3" s="527"/>
      <c r="I3" s="527"/>
    </row>
    <row r="4" spans="1:9" ht="18.75" customHeight="1" x14ac:dyDescent="0.25">
      <c r="A4" s="527"/>
      <c r="B4" s="527"/>
      <c r="C4" s="527"/>
      <c r="D4" s="527"/>
      <c r="E4" s="527"/>
      <c r="F4" s="527"/>
      <c r="G4" s="527"/>
      <c r="H4" s="527"/>
      <c r="I4" s="527"/>
    </row>
    <row r="5" spans="1:9" ht="18.75" customHeight="1" x14ac:dyDescent="0.25">
      <c r="A5" s="527"/>
      <c r="B5" s="527"/>
      <c r="C5" s="527"/>
      <c r="D5" s="527"/>
      <c r="E5" s="527"/>
      <c r="F5" s="527"/>
      <c r="G5" s="527"/>
      <c r="H5" s="527"/>
      <c r="I5" s="527"/>
    </row>
    <row r="6" spans="1:9" ht="18.75" customHeight="1" x14ac:dyDescent="0.25">
      <c r="A6" s="527"/>
      <c r="B6" s="527"/>
      <c r="C6" s="527"/>
      <c r="D6" s="527"/>
      <c r="E6" s="527"/>
      <c r="F6" s="527"/>
      <c r="G6" s="527"/>
      <c r="H6" s="527"/>
      <c r="I6" s="527"/>
    </row>
    <row r="7" spans="1:9" ht="18.75" customHeight="1" x14ac:dyDescent="0.25">
      <c r="A7" s="527"/>
      <c r="B7" s="527"/>
      <c r="C7" s="527"/>
      <c r="D7" s="527"/>
      <c r="E7" s="527"/>
      <c r="F7" s="527"/>
      <c r="G7" s="527"/>
      <c r="H7" s="527"/>
      <c r="I7" s="527"/>
    </row>
    <row r="8" spans="1:9" x14ac:dyDescent="0.25">
      <c r="A8" s="528" t="s">
        <v>46</v>
      </c>
      <c r="B8" s="528"/>
      <c r="C8" s="528"/>
      <c r="D8" s="528"/>
      <c r="E8" s="528"/>
      <c r="F8" s="528"/>
      <c r="G8" s="528"/>
      <c r="H8" s="528"/>
      <c r="I8" s="528"/>
    </row>
    <row r="9" spans="1:9" x14ac:dyDescent="0.25">
      <c r="A9" s="528"/>
      <c r="B9" s="528"/>
      <c r="C9" s="528"/>
      <c r="D9" s="528"/>
      <c r="E9" s="528"/>
      <c r="F9" s="528"/>
      <c r="G9" s="528"/>
      <c r="H9" s="528"/>
      <c r="I9" s="528"/>
    </row>
    <row r="10" spans="1:9" x14ac:dyDescent="0.25">
      <c r="A10" s="528"/>
      <c r="B10" s="528"/>
      <c r="C10" s="528"/>
      <c r="D10" s="528"/>
      <c r="E10" s="528"/>
      <c r="F10" s="528"/>
      <c r="G10" s="528"/>
      <c r="H10" s="528"/>
      <c r="I10" s="528"/>
    </row>
    <row r="11" spans="1:9" x14ac:dyDescent="0.25">
      <c r="A11" s="528"/>
      <c r="B11" s="528"/>
      <c r="C11" s="528"/>
      <c r="D11" s="528"/>
      <c r="E11" s="528"/>
      <c r="F11" s="528"/>
      <c r="G11" s="528"/>
      <c r="H11" s="528"/>
      <c r="I11" s="528"/>
    </row>
    <row r="12" spans="1:9" x14ac:dyDescent="0.25">
      <c r="A12" s="528"/>
      <c r="B12" s="528"/>
      <c r="C12" s="528"/>
      <c r="D12" s="528"/>
      <c r="E12" s="528"/>
      <c r="F12" s="528"/>
      <c r="G12" s="528"/>
      <c r="H12" s="528"/>
      <c r="I12" s="528"/>
    </row>
    <row r="13" spans="1:9" x14ac:dyDescent="0.25">
      <c r="A13" s="528"/>
      <c r="B13" s="528"/>
      <c r="C13" s="528"/>
      <c r="D13" s="528"/>
      <c r="E13" s="528"/>
      <c r="F13" s="528"/>
      <c r="G13" s="528"/>
      <c r="H13" s="528"/>
      <c r="I13" s="528"/>
    </row>
    <row r="14" spans="1:9" x14ac:dyDescent="0.25">
      <c r="A14" s="528"/>
      <c r="B14" s="528"/>
      <c r="C14" s="528"/>
      <c r="D14" s="528"/>
      <c r="E14" s="528"/>
      <c r="F14" s="528"/>
      <c r="G14" s="528"/>
      <c r="H14" s="528"/>
      <c r="I14" s="528"/>
    </row>
    <row r="15" spans="1:9" ht="19.5" customHeight="1" x14ac:dyDescent="0.3">
      <c r="A15" s="237"/>
    </row>
    <row r="16" spans="1:9" ht="19.5" customHeight="1" x14ac:dyDescent="0.3">
      <c r="A16" s="560" t="s">
        <v>31</v>
      </c>
      <c r="B16" s="561"/>
      <c r="C16" s="561"/>
      <c r="D16" s="561"/>
      <c r="E16" s="561"/>
      <c r="F16" s="561"/>
      <c r="G16" s="561"/>
      <c r="H16" s="562"/>
    </row>
    <row r="17" spans="1:14" ht="20.25" customHeight="1" x14ac:dyDescent="0.25">
      <c r="A17" s="563" t="s">
        <v>47</v>
      </c>
      <c r="B17" s="563"/>
      <c r="C17" s="563"/>
      <c r="D17" s="563"/>
      <c r="E17" s="563"/>
      <c r="F17" s="563"/>
      <c r="G17" s="563"/>
      <c r="H17" s="563"/>
    </row>
    <row r="18" spans="1:14" ht="26.25" customHeight="1" x14ac:dyDescent="0.4">
      <c r="A18" s="239" t="s">
        <v>33</v>
      </c>
      <c r="B18" s="559" t="s">
        <v>5</v>
      </c>
      <c r="C18" s="559"/>
      <c r="D18" s="385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564" t="s">
        <v>131</v>
      </c>
      <c r="C20" s="564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564" t="s">
        <v>133</v>
      </c>
      <c r="C21" s="564"/>
      <c r="D21" s="564"/>
      <c r="E21" s="564"/>
      <c r="F21" s="564"/>
      <c r="G21" s="564"/>
      <c r="H21" s="564"/>
      <c r="I21" s="243"/>
    </row>
    <row r="22" spans="1:14" ht="26.25" customHeight="1" x14ac:dyDescent="0.4">
      <c r="A22" s="239" t="s">
        <v>37</v>
      </c>
      <c r="B22" s="244">
        <v>42691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>
        <v>42704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559" t="s">
        <v>131</v>
      </c>
      <c r="C26" s="559"/>
    </row>
    <row r="27" spans="1:14" ht="26.25" customHeight="1" x14ac:dyDescent="0.4">
      <c r="A27" s="248" t="s">
        <v>48</v>
      </c>
      <c r="B27" s="565" t="s">
        <v>132</v>
      </c>
      <c r="C27" s="565"/>
    </row>
    <row r="28" spans="1:14" ht="27" customHeight="1" x14ac:dyDescent="0.4">
      <c r="A28" s="248" t="s">
        <v>6</v>
      </c>
      <c r="B28" s="249">
        <v>99.3</v>
      </c>
    </row>
    <row r="29" spans="1:14" s="3" customFormat="1" ht="27" customHeight="1" x14ac:dyDescent="0.4">
      <c r="A29" s="248" t="s">
        <v>49</v>
      </c>
      <c r="B29" s="250">
        <v>0</v>
      </c>
      <c r="C29" s="535" t="s">
        <v>50</v>
      </c>
      <c r="D29" s="536"/>
      <c r="E29" s="536"/>
      <c r="F29" s="536"/>
      <c r="G29" s="537"/>
      <c r="I29" s="251"/>
      <c r="J29" s="251"/>
      <c r="K29" s="251"/>
      <c r="L29" s="251"/>
    </row>
    <row r="30" spans="1:14" s="3" customFormat="1" ht="19.5" customHeight="1" x14ac:dyDescent="0.3">
      <c r="A30" s="248" t="s">
        <v>51</v>
      </c>
      <c r="B30" s="252">
        <f>B28-B29</f>
        <v>99.3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52</v>
      </c>
      <c r="B31" s="255">
        <v>1</v>
      </c>
      <c r="C31" s="538" t="s">
        <v>53</v>
      </c>
      <c r="D31" s="539"/>
      <c r="E31" s="539"/>
      <c r="F31" s="539"/>
      <c r="G31" s="539"/>
      <c r="H31" s="540"/>
      <c r="I31" s="251"/>
      <c r="J31" s="251"/>
      <c r="K31" s="251"/>
      <c r="L31" s="251"/>
    </row>
    <row r="32" spans="1:14" s="3" customFormat="1" ht="27" customHeight="1" x14ac:dyDescent="0.4">
      <c r="A32" s="248" t="s">
        <v>54</v>
      </c>
      <c r="B32" s="255">
        <v>1</v>
      </c>
      <c r="C32" s="538" t="s">
        <v>55</v>
      </c>
      <c r="D32" s="539"/>
      <c r="E32" s="539"/>
      <c r="F32" s="539"/>
      <c r="G32" s="539"/>
      <c r="H32" s="540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58</v>
      </c>
      <c r="B36" s="262">
        <v>25</v>
      </c>
      <c r="C36" s="238"/>
      <c r="D36" s="541" t="s">
        <v>59</v>
      </c>
      <c r="E36" s="566"/>
      <c r="F36" s="541" t="s">
        <v>60</v>
      </c>
      <c r="G36" s="542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61</v>
      </c>
      <c r="B37" s="264">
        <v>4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66</v>
      </c>
      <c r="B38" s="264">
        <v>100</v>
      </c>
      <c r="C38" s="270">
        <v>1</v>
      </c>
      <c r="D38" s="271">
        <v>3504146</v>
      </c>
      <c r="E38" s="272">
        <f>IF(ISBLANK(D38),"-",$D$48/$D$45*D38)</f>
        <v>3792421.2096172399</v>
      </c>
      <c r="F38" s="271">
        <v>3769044</v>
      </c>
      <c r="G38" s="273">
        <f>IF(ISBLANK(F38),"-",$D$48/$F$45*F38)</f>
        <v>3774851.6092007565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67</v>
      </c>
      <c r="B39" s="264">
        <v>1</v>
      </c>
      <c r="C39" s="275">
        <v>2</v>
      </c>
      <c r="D39" s="276">
        <v>3515761</v>
      </c>
      <c r="E39" s="277">
        <f>IF(ISBLANK(D39),"-",$D$48/$D$45*D39)</f>
        <v>3804991.7395979268</v>
      </c>
      <c r="F39" s="276">
        <v>3775167</v>
      </c>
      <c r="G39" s="278">
        <f>IF(ISBLANK(F39),"-",$D$48/$F$45*F39)</f>
        <v>3780984.0439516208</v>
      </c>
      <c r="I39" s="543">
        <f>ABS((F43/D43*D42)-F42)/D42</f>
        <v>4.3779968128884062E-3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68</v>
      </c>
      <c r="B40" s="264">
        <v>1</v>
      </c>
      <c r="C40" s="275">
        <v>3</v>
      </c>
      <c r="D40" s="276">
        <v>3507575</v>
      </c>
      <c r="E40" s="277">
        <f>IF(ISBLANK(D40),"-",$D$48/$D$45*D40)</f>
        <v>3796132.302798796</v>
      </c>
      <c r="F40" s="276">
        <v>3785716</v>
      </c>
      <c r="G40" s="278">
        <f>IF(ISBLANK(F40),"-",$D$48/$F$45*F40)</f>
        <v>3791549.2985958909</v>
      </c>
      <c r="I40" s="543"/>
      <c r="L40" s="256"/>
      <c r="M40" s="256"/>
      <c r="N40" s="279"/>
    </row>
    <row r="41" spans="1:14" ht="27" customHeight="1" x14ac:dyDescent="0.4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70</v>
      </c>
      <c r="B42" s="264">
        <v>1</v>
      </c>
      <c r="C42" s="285" t="s">
        <v>71</v>
      </c>
      <c r="D42" s="286">
        <f>AVERAGE(D38:D41)</f>
        <v>3509160.6666666665</v>
      </c>
      <c r="E42" s="287">
        <f>AVERAGE(E38:E41)</f>
        <v>3797848.4173379876</v>
      </c>
      <c r="F42" s="286">
        <f>AVERAGE(F38:F41)</f>
        <v>3776642.3333333335</v>
      </c>
      <c r="G42" s="288">
        <f>AVERAGE(G38:G41)</f>
        <v>3782461.6505827564</v>
      </c>
      <c r="H42" s="289"/>
    </row>
    <row r="43" spans="1:14" ht="26.25" customHeight="1" x14ac:dyDescent="0.4">
      <c r="A43" s="263" t="s">
        <v>72</v>
      </c>
      <c r="B43" s="264">
        <v>1</v>
      </c>
      <c r="C43" s="290" t="s">
        <v>73</v>
      </c>
      <c r="D43" s="291">
        <v>18.61</v>
      </c>
      <c r="E43" s="279"/>
      <c r="F43" s="291">
        <v>20.11</v>
      </c>
      <c r="H43" s="289"/>
    </row>
    <row r="44" spans="1:14" ht="26.25" customHeight="1" x14ac:dyDescent="0.4">
      <c r="A44" s="263" t="s">
        <v>74</v>
      </c>
      <c r="B44" s="264">
        <v>1</v>
      </c>
      <c r="C44" s="292" t="s">
        <v>75</v>
      </c>
      <c r="D44" s="293">
        <f>D43*$B$34</f>
        <v>18.61</v>
      </c>
      <c r="E44" s="294"/>
      <c r="F44" s="293">
        <f>F43*$B$34</f>
        <v>20.11</v>
      </c>
      <c r="H44" s="289"/>
    </row>
    <row r="45" spans="1:14" ht="19.5" customHeight="1" x14ac:dyDescent="0.3">
      <c r="A45" s="263" t="s">
        <v>76</v>
      </c>
      <c r="B45" s="295">
        <f>(B44/B43)*(B42/B41)*(B40/B39)*(B38/B37)*B36</f>
        <v>625</v>
      </c>
      <c r="C45" s="292" t="s">
        <v>77</v>
      </c>
      <c r="D45" s="296">
        <f>D44*$B$30/100</f>
        <v>18.47973</v>
      </c>
      <c r="E45" s="297"/>
      <c r="F45" s="296">
        <f>F44*$B$30/100</f>
        <v>19.969229999999996</v>
      </c>
      <c r="H45" s="289"/>
    </row>
    <row r="46" spans="1:14" ht="19.5" customHeight="1" x14ac:dyDescent="0.3">
      <c r="A46" s="529" t="s">
        <v>78</v>
      </c>
      <c r="B46" s="530"/>
      <c r="C46" s="292" t="s">
        <v>79</v>
      </c>
      <c r="D46" s="298">
        <f>D45/$B$45</f>
        <v>2.9567567999999999E-2</v>
      </c>
      <c r="E46" s="299"/>
      <c r="F46" s="300">
        <f>F45/$B$45</f>
        <v>3.1950767999999991E-2</v>
      </c>
      <c r="H46" s="289"/>
    </row>
    <row r="47" spans="1:14" ht="27" customHeight="1" x14ac:dyDescent="0.4">
      <c r="A47" s="531"/>
      <c r="B47" s="532"/>
      <c r="C47" s="301" t="s">
        <v>80</v>
      </c>
      <c r="D47" s="302">
        <v>3.2000000000000001E-2</v>
      </c>
      <c r="E47" s="303"/>
      <c r="F47" s="299"/>
      <c r="H47" s="289"/>
    </row>
    <row r="48" spans="1:14" ht="18.75" x14ac:dyDescent="0.3">
      <c r="C48" s="304" t="s">
        <v>81</v>
      </c>
      <c r="D48" s="296">
        <f>D47*$B$45</f>
        <v>20</v>
      </c>
      <c r="F48" s="305"/>
      <c r="H48" s="289"/>
    </row>
    <row r="49" spans="1:12" ht="19.5" customHeight="1" x14ac:dyDescent="0.3">
      <c r="C49" s="306" t="s">
        <v>82</v>
      </c>
      <c r="D49" s="307">
        <f>D48/B34</f>
        <v>20</v>
      </c>
      <c r="F49" s="305"/>
      <c r="H49" s="289"/>
    </row>
    <row r="50" spans="1:12" ht="18.75" x14ac:dyDescent="0.3">
      <c r="C50" s="261" t="s">
        <v>83</v>
      </c>
      <c r="D50" s="308">
        <f>AVERAGE(E38:E41,G38:G41)</f>
        <v>3790155.0339603717</v>
      </c>
      <c r="F50" s="309"/>
      <c r="H50" s="289"/>
    </row>
    <row r="51" spans="1:12" ht="18.75" x14ac:dyDescent="0.3">
      <c r="C51" s="263" t="s">
        <v>84</v>
      </c>
      <c r="D51" s="310">
        <f>STDEV(E38:E41,G38:G41)/D50</f>
        <v>2.8446879821889849E-3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85</v>
      </c>
    </row>
    <row r="55" spans="1:12" ht="18.75" x14ac:dyDescent="0.3">
      <c r="A55" s="238" t="s">
        <v>86</v>
      </c>
      <c r="B55" s="315" t="str">
        <f>B21</f>
        <v>Each tablet contains: Sulphamethoxazole B.P. 800 mg and Trimethoprim B.P. 160 mg.</v>
      </c>
    </row>
    <row r="56" spans="1:12" ht="26.25" customHeight="1" x14ac:dyDescent="0.4">
      <c r="A56" s="316" t="s">
        <v>87</v>
      </c>
      <c r="B56" s="317">
        <v>160</v>
      </c>
      <c r="C56" s="238" t="str">
        <f>B20</f>
        <v>Trimethoprim</v>
      </c>
      <c r="H56" s="318"/>
    </row>
    <row r="57" spans="1:12" ht="18.75" x14ac:dyDescent="0.3">
      <c r="A57" s="315" t="s">
        <v>88</v>
      </c>
      <c r="B57" s="386">
        <f>Uniformity!C46</f>
        <v>1041.7175000000002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89</v>
      </c>
      <c r="B59" s="262">
        <v>100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 x14ac:dyDescent="0.4">
      <c r="A60" s="263" t="s">
        <v>93</v>
      </c>
      <c r="B60" s="264">
        <v>5</v>
      </c>
      <c r="C60" s="546" t="s">
        <v>94</v>
      </c>
      <c r="D60" s="549">
        <v>202.21</v>
      </c>
      <c r="E60" s="321">
        <v>1</v>
      </c>
      <c r="F60" s="322">
        <v>3577506</v>
      </c>
      <c r="G60" s="387">
        <f>IF(ISBLANK(F60),"-",(F60/$D$50*$D$47*$B$68)*($B$57/$D$60))</f>
        <v>155.6039814347495</v>
      </c>
      <c r="H60" s="405">
        <f t="shared" ref="H60:H71" si="0">IF(ISBLANK(F60),"-",(G60/$B$56)*100)</f>
        <v>97.252488396718434</v>
      </c>
      <c r="L60" s="251"/>
    </row>
    <row r="61" spans="1:12" s="3" customFormat="1" ht="26.25" customHeight="1" x14ac:dyDescent="0.4">
      <c r="A61" s="263" t="s">
        <v>95</v>
      </c>
      <c r="B61" s="264">
        <v>50</v>
      </c>
      <c r="C61" s="547"/>
      <c r="D61" s="550"/>
      <c r="E61" s="323">
        <v>2</v>
      </c>
      <c r="F61" s="276">
        <v>3568036</v>
      </c>
      <c r="G61" s="388">
        <f>IF(ISBLANK(F61),"-",(F61/$D$50*$D$47*$B$68)*($B$57/$D$60))</f>
        <v>155.1920828371826</v>
      </c>
      <c r="H61" s="406">
        <f t="shared" si="0"/>
        <v>96.995051773239126</v>
      </c>
      <c r="L61" s="251"/>
    </row>
    <row r="62" spans="1:12" s="3" customFormat="1" ht="26.25" customHeight="1" x14ac:dyDescent="0.4">
      <c r="A62" s="263" t="s">
        <v>96</v>
      </c>
      <c r="B62" s="264">
        <v>1</v>
      </c>
      <c r="C62" s="547"/>
      <c r="D62" s="550"/>
      <c r="E62" s="323">
        <v>3</v>
      </c>
      <c r="F62" s="324">
        <v>3579196</v>
      </c>
      <c r="G62" s="388">
        <f>IF(ISBLANK(F62),"-",(F62/$D$50*$D$47*$B$68)*($B$57/$D$60))</f>
        <v>155.67748815385067</v>
      </c>
      <c r="H62" s="406">
        <f t="shared" si="0"/>
        <v>97.298430096156679</v>
      </c>
      <c r="L62" s="251"/>
    </row>
    <row r="63" spans="1:12" ht="27" customHeight="1" x14ac:dyDescent="0.4">
      <c r="A63" s="263" t="s">
        <v>97</v>
      </c>
      <c r="B63" s="264">
        <v>1</v>
      </c>
      <c r="C63" s="556"/>
      <c r="D63" s="551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98</v>
      </c>
      <c r="B64" s="264">
        <v>1</v>
      </c>
      <c r="C64" s="546" t="s">
        <v>99</v>
      </c>
      <c r="D64" s="549">
        <v>208.81</v>
      </c>
      <c r="E64" s="321">
        <v>1</v>
      </c>
      <c r="F64" s="322">
        <v>3680528</v>
      </c>
      <c r="G64" s="387">
        <f>IF(ISBLANK(F64),"-",(F64/$D$50*$D$47*$B$68)*($B$57/$D$64))</f>
        <v>155.02502001797072</v>
      </c>
      <c r="H64" s="405">
        <f t="shared" si="0"/>
        <v>96.890637511231702</v>
      </c>
    </row>
    <row r="65" spans="1:8" ht="26.25" customHeight="1" x14ac:dyDescent="0.4">
      <c r="A65" s="263" t="s">
        <v>100</v>
      </c>
      <c r="B65" s="264">
        <v>1</v>
      </c>
      <c r="C65" s="547"/>
      <c r="D65" s="550"/>
      <c r="E65" s="323">
        <v>2</v>
      </c>
      <c r="F65" s="276">
        <v>3703451</v>
      </c>
      <c r="G65" s="388">
        <f>IF(ISBLANK(F65),"-",(F65/$D$50*$D$47*$B$68)*($B$57/$D$64))</f>
        <v>155.99054413132401</v>
      </c>
      <c r="H65" s="406">
        <f t="shared" si="0"/>
        <v>97.494090082077506</v>
      </c>
    </row>
    <row r="66" spans="1:8" ht="26.25" customHeight="1" x14ac:dyDescent="0.4">
      <c r="A66" s="263" t="s">
        <v>101</v>
      </c>
      <c r="B66" s="264">
        <v>1</v>
      </c>
      <c r="C66" s="547"/>
      <c r="D66" s="550"/>
      <c r="E66" s="323">
        <v>3</v>
      </c>
      <c r="F66" s="276">
        <v>3707577</v>
      </c>
      <c r="G66" s="388">
        <f>IF(ISBLANK(F66),"-",(F66/$D$50*$D$47*$B$68)*($B$57/$D$64))</f>
        <v>156.16433257488268</v>
      </c>
      <c r="H66" s="406">
        <f t="shared" si="0"/>
        <v>97.602707859301674</v>
      </c>
    </row>
    <row r="67" spans="1:8" ht="27" customHeight="1" x14ac:dyDescent="0.4">
      <c r="A67" s="263" t="s">
        <v>102</v>
      </c>
      <c r="B67" s="264">
        <v>1</v>
      </c>
      <c r="C67" s="556"/>
      <c r="D67" s="551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103</v>
      </c>
      <c r="B68" s="327">
        <f>(B67/B66)*(B65/B64)*(B63/B62)*(B61/B60)*B59</f>
        <v>1000</v>
      </c>
      <c r="C68" s="546" t="s">
        <v>104</v>
      </c>
      <c r="D68" s="549">
        <v>213.04</v>
      </c>
      <c r="E68" s="321">
        <v>1</v>
      </c>
      <c r="F68" s="322">
        <v>3734884</v>
      </c>
      <c r="G68" s="387">
        <f>IF(ISBLANK(F68),"-",(F68/$D$50*$D$47*$B$68)*($B$57/$D$68))</f>
        <v>154.19096548614948</v>
      </c>
      <c r="H68" s="406">
        <f t="shared" si="0"/>
        <v>96.369353428843425</v>
      </c>
    </row>
    <row r="69" spans="1:8" ht="27" customHeight="1" x14ac:dyDescent="0.4">
      <c r="A69" s="311" t="s">
        <v>105</v>
      </c>
      <c r="B69" s="328">
        <f>(D47*B68)/B56*B57</f>
        <v>208.34350000000006</v>
      </c>
      <c r="C69" s="547"/>
      <c r="D69" s="550"/>
      <c r="E69" s="323">
        <v>2</v>
      </c>
      <c r="F69" s="276">
        <v>3762907</v>
      </c>
      <c r="G69" s="388">
        <f>IF(ISBLANK(F69),"-",(F69/$D$50*$D$47*$B$68)*($B$57/$D$68))</f>
        <v>155.34786712641949</v>
      </c>
      <c r="H69" s="406">
        <f t="shared" si="0"/>
        <v>97.09241695401218</v>
      </c>
    </row>
    <row r="70" spans="1:8" ht="26.25" customHeight="1" x14ac:dyDescent="0.4">
      <c r="A70" s="552" t="s">
        <v>78</v>
      </c>
      <c r="B70" s="553"/>
      <c r="C70" s="547"/>
      <c r="D70" s="550"/>
      <c r="E70" s="323">
        <v>3</v>
      </c>
      <c r="F70" s="276">
        <v>3751628</v>
      </c>
      <c r="G70" s="388">
        <f>IF(ISBLANK(F70),"-",(F70/$D$50*$D$47*$B$68)*($B$57/$D$68))</f>
        <v>154.88222484684181</v>
      </c>
      <c r="H70" s="406">
        <f t="shared" si="0"/>
        <v>96.801390529276134</v>
      </c>
    </row>
    <row r="71" spans="1:8" ht="27" customHeight="1" x14ac:dyDescent="0.4">
      <c r="A71" s="554"/>
      <c r="B71" s="555"/>
      <c r="C71" s="548"/>
      <c r="D71" s="551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155.34161184548566</v>
      </c>
      <c r="H72" s="408">
        <f>AVERAGE(H60:H71)</f>
        <v>97.088507403428537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3.900679345579838E-3</v>
      </c>
      <c r="H73" s="392">
        <f>STDEV(H60:H71)/H72</f>
        <v>3.9006793455798293E-3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106</v>
      </c>
      <c r="B76" s="336" t="s">
        <v>107</v>
      </c>
      <c r="C76" s="533" t="str">
        <f>B26</f>
        <v>Trimethoprim</v>
      </c>
      <c r="D76" s="533"/>
      <c r="E76" s="337" t="s">
        <v>108</v>
      </c>
      <c r="F76" s="337"/>
      <c r="G76" s="338">
        <f>H72</f>
        <v>97.088507403428537</v>
      </c>
      <c r="H76" s="339"/>
    </row>
    <row r="77" spans="1:8" ht="18.75" x14ac:dyDescent="0.3">
      <c r="A77" s="246" t="s">
        <v>109</v>
      </c>
      <c r="B77" s="246" t="s">
        <v>110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567" t="s">
        <v>131</v>
      </c>
      <c r="C79" s="567"/>
    </row>
    <row r="80" spans="1:8" ht="26.25" customHeight="1" x14ac:dyDescent="0.4">
      <c r="A80" s="248" t="s">
        <v>48</v>
      </c>
      <c r="B80" s="567" t="s">
        <v>132</v>
      </c>
      <c r="C80" s="567"/>
    </row>
    <row r="81" spans="1:12" ht="27" customHeight="1" x14ac:dyDescent="0.4">
      <c r="A81" s="248" t="s">
        <v>6</v>
      </c>
      <c r="B81" s="340">
        <v>99.3</v>
      </c>
    </row>
    <row r="82" spans="1:12" s="3" customFormat="1" ht="27" customHeight="1" x14ac:dyDescent="0.4">
      <c r="A82" s="248" t="s">
        <v>49</v>
      </c>
      <c r="B82" s="250">
        <v>0</v>
      </c>
      <c r="C82" s="535" t="s">
        <v>50</v>
      </c>
      <c r="D82" s="536"/>
      <c r="E82" s="536"/>
      <c r="F82" s="536"/>
      <c r="G82" s="537"/>
      <c r="I82" s="251"/>
      <c r="J82" s="251"/>
      <c r="K82" s="251"/>
      <c r="L82" s="251"/>
    </row>
    <row r="83" spans="1:12" s="3" customFormat="1" ht="19.5" customHeight="1" x14ac:dyDescent="0.3">
      <c r="A83" s="248" t="s">
        <v>51</v>
      </c>
      <c r="B83" s="252">
        <f>B81-B82</f>
        <v>99.3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52</v>
      </c>
      <c r="B84" s="255">
        <v>1</v>
      </c>
      <c r="C84" s="538" t="s">
        <v>111</v>
      </c>
      <c r="D84" s="539"/>
      <c r="E84" s="539"/>
      <c r="F84" s="539"/>
      <c r="G84" s="539"/>
      <c r="H84" s="540"/>
      <c r="I84" s="251"/>
      <c r="J84" s="251"/>
      <c r="K84" s="251"/>
      <c r="L84" s="251"/>
    </row>
    <row r="85" spans="1:12" s="3" customFormat="1" ht="27" customHeight="1" x14ac:dyDescent="0.4">
      <c r="A85" s="248" t="s">
        <v>54</v>
      </c>
      <c r="B85" s="255">
        <v>1</v>
      </c>
      <c r="C85" s="538" t="s">
        <v>112</v>
      </c>
      <c r="D85" s="539"/>
      <c r="E85" s="539"/>
      <c r="F85" s="539"/>
      <c r="G85" s="539"/>
      <c r="H85" s="540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58</v>
      </c>
      <c r="B89" s="262">
        <v>25</v>
      </c>
      <c r="D89" s="341" t="s">
        <v>59</v>
      </c>
      <c r="E89" s="342"/>
      <c r="F89" s="541" t="s">
        <v>60</v>
      </c>
      <c r="G89" s="542"/>
    </row>
    <row r="90" spans="1:12" ht="27" customHeight="1" x14ac:dyDescent="0.4">
      <c r="A90" s="263" t="s">
        <v>61</v>
      </c>
      <c r="B90" s="264">
        <v>4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 x14ac:dyDescent="0.4">
      <c r="A91" s="263" t="s">
        <v>66</v>
      </c>
      <c r="B91" s="264">
        <v>100</v>
      </c>
      <c r="C91" s="345">
        <v>1</v>
      </c>
      <c r="D91" s="271">
        <v>3748286</v>
      </c>
      <c r="E91" s="272">
        <f>IF(ISBLANK(D91),"-",$D$101/$D$98*D91)</f>
        <v>4247211.209833107</v>
      </c>
      <c r="F91" s="271">
        <v>3879672</v>
      </c>
      <c r="G91" s="273">
        <f>IF(ISBLANK(F91),"-",$D$101/$F$98*F91)</f>
        <v>4188263.0090971254</v>
      </c>
      <c r="I91" s="274"/>
    </row>
    <row r="92" spans="1:12" ht="26.25" customHeight="1" x14ac:dyDescent="0.4">
      <c r="A92" s="263" t="s">
        <v>67</v>
      </c>
      <c r="B92" s="264">
        <v>1</v>
      </c>
      <c r="C92" s="330">
        <v>2</v>
      </c>
      <c r="D92" s="276">
        <v>3739383</v>
      </c>
      <c r="E92" s="277">
        <f>IF(ISBLANK(D92),"-",$D$101/$D$98*D92)</f>
        <v>4237123.1532117222</v>
      </c>
      <c r="F92" s="276">
        <v>3889459</v>
      </c>
      <c r="G92" s="278">
        <f>IF(ISBLANK(F92),"-",$D$101/$F$98*F92)</f>
        <v>4198828.4718656363</v>
      </c>
      <c r="I92" s="543">
        <f>ABS((F96/D96*D95)-F95)/D95</f>
        <v>7.7068138137061197E-3</v>
      </c>
    </row>
    <row r="93" spans="1:12" ht="26.25" customHeight="1" x14ac:dyDescent="0.4">
      <c r="A93" s="263" t="s">
        <v>68</v>
      </c>
      <c r="B93" s="264">
        <v>1</v>
      </c>
      <c r="C93" s="330">
        <v>3</v>
      </c>
      <c r="D93" s="276">
        <v>3714442</v>
      </c>
      <c r="E93" s="277">
        <f>IF(ISBLANK(D93),"-",$D$101/$D$98*D93)</f>
        <v>4208862.3175165681</v>
      </c>
      <c r="F93" s="276">
        <v>3902499</v>
      </c>
      <c r="G93" s="278">
        <f>IF(ISBLANK(F93),"-",$D$101/$F$98*F93)</f>
        <v>4212905.6798457503</v>
      </c>
      <c r="I93" s="543"/>
    </row>
    <row r="94" spans="1:12" ht="27" customHeight="1" x14ac:dyDescent="0.4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70</v>
      </c>
      <c r="B95" s="264">
        <v>1</v>
      </c>
      <c r="C95" s="348" t="s">
        <v>71</v>
      </c>
      <c r="D95" s="349">
        <f>AVERAGE(D91:D94)</f>
        <v>3734037</v>
      </c>
      <c r="E95" s="287">
        <f>AVERAGE(E91:E94)</f>
        <v>4231065.5601871321</v>
      </c>
      <c r="F95" s="350">
        <f>AVERAGE(F91:F94)</f>
        <v>3890543.3333333335</v>
      </c>
      <c r="G95" s="351">
        <f>AVERAGE(G91:G94)</f>
        <v>4199999.053602837</v>
      </c>
    </row>
    <row r="96" spans="1:12" ht="26.25" customHeight="1" x14ac:dyDescent="0.4">
      <c r="A96" s="263" t="s">
        <v>72</v>
      </c>
      <c r="B96" s="249">
        <v>1</v>
      </c>
      <c r="C96" s="352" t="s">
        <v>113</v>
      </c>
      <c r="D96" s="353">
        <v>19.75</v>
      </c>
      <c r="E96" s="279"/>
      <c r="F96" s="291">
        <v>20.73</v>
      </c>
    </row>
    <row r="97" spans="1:10" ht="26.25" customHeight="1" x14ac:dyDescent="0.4">
      <c r="A97" s="263" t="s">
        <v>74</v>
      </c>
      <c r="B97" s="249">
        <v>1</v>
      </c>
      <c r="C97" s="354" t="s">
        <v>114</v>
      </c>
      <c r="D97" s="355">
        <f>D96*$B$87</f>
        <v>19.75</v>
      </c>
      <c r="E97" s="294"/>
      <c r="F97" s="293">
        <f>F96*$B$87</f>
        <v>20.73</v>
      </c>
    </row>
    <row r="98" spans="1:10" ht="19.5" customHeight="1" x14ac:dyDescent="0.3">
      <c r="A98" s="263" t="s">
        <v>76</v>
      </c>
      <c r="B98" s="356">
        <f>(B97/B96)*(B95/B94)*(B93/B92)*(B91/B90)*B89</f>
        <v>625</v>
      </c>
      <c r="C98" s="354" t="s">
        <v>115</v>
      </c>
      <c r="D98" s="357">
        <f>D97*$B$83/100</f>
        <v>19.611750000000001</v>
      </c>
      <c r="E98" s="297"/>
      <c r="F98" s="296">
        <f>F97*$B$83/100</f>
        <v>20.584890000000001</v>
      </c>
    </row>
    <row r="99" spans="1:10" ht="19.5" customHeight="1" x14ac:dyDescent="0.3">
      <c r="A99" s="529" t="s">
        <v>78</v>
      </c>
      <c r="B99" s="544"/>
      <c r="C99" s="354" t="s">
        <v>116</v>
      </c>
      <c r="D99" s="358">
        <f>D98/$B$98</f>
        <v>3.1378799999999998E-2</v>
      </c>
      <c r="E99" s="297"/>
      <c r="F99" s="300">
        <f>F98/$B$98</f>
        <v>3.2935824000000002E-2</v>
      </c>
      <c r="G99" s="359"/>
      <c r="H99" s="289"/>
    </row>
    <row r="100" spans="1:10" ht="19.5" customHeight="1" x14ac:dyDescent="0.3">
      <c r="A100" s="531"/>
      <c r="B100" s="545"/>
      <c r="C100" s="354" t="s">
        <v>80</v>
      </c>
      <c r="D100" s="360">
        <f>$B$56/$B$116</f>
        <v>3.5555555555555556E-2</v>
      </c>
      <c r="F100" s="305"/>
      <c r="G100" s="361"/>
      <c r="H100" s="289"/>
    </row>
    <row r="101" spans="1:10" ht="18.75" x14ac:dyDescent="0.3">
      <c r="C101" s="354" t="s">
        <v>81</v>
      </c>
      <c r="D101" s="355">
        <f>D100*$B$98</f>
        <v>22.222222222222221</v>
      </c>
      <c r="F101" s="305"/>
      <c r="G101" s="359"/>
      <c r="H101" s="289"/>
    </row>
    <row r="102" spans="1:10" ht="19.5" customHeight="1" x14ac:dyDescent="0.3">
      <c r="C102" s="362" t="s">
        <v>82</v>
      </c>
      <c r="D102" s="363">
        <f>D101/B34</f>
        <v>22.222222222222221</v>
      </c>
      <c r="F102" s="309"/>
      <c r="G102" s="359"/>
      <c r="H102" s="289"/>
      <c r="J102" s="364"/>
    </row>
    <row r="103" spans="1:10" ht="18.75" x14ac:dyDescent="0.3">
      <c r="C103" s="365" t="s">
        <v>117</v>
      </c>
      <c r="D103" s="366">
        <f>AVERAGE(E91:E94,G91:G94)</f>
        <v>4215532.306894985</v>
      </c>
      <c r="F103" s="309"/>
      <c r="G103" s="367"/>
      <c r="H103" s="289"/>
      <c r="J103" s="368"/>
    </row>
    <row r="104" spans="1:10" ht="18.75" x14ac:dyDescent="0.3">
      <c r="C104" s="332" t="s">
        <v>84</v>
      </c>
      <c r="D104" s="369">
        <f>STDEV(E91:E94,G91:G94)/D103</f>
        <v>5.3505543431993496E-3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118</v>
      </c>
      <c r="B107" s="262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3" t="s">
        <v>122</v>
      </c>
      <c r="B108" s="264">
        <v>10</v>
      </c>
      <c r="C108" s="414">
        <v>1</v>
      </c>
      <c r="D108" s="415">
        <v>4116946</v>
      </c>
      <c r="E108" s="389">
        <f t="shared" ref="E108:E113" si="1">IF(ISBLANK(D108),"-",D108/$D$103*$D$100*$B$116)</f>
        <v>156.2581690864051</v>
      </c>
      <c r="F108" s="416">
        <f t="shared" ref="F108:F113" si="2">IF(ISBLANK(D108), "-", (E108/$B$56)*100)</f>
        <v>97.661355679003194</v>
      </c>
    </row>
    <row r="109" spans="1:10" ht="26.25" customHeight="1" x14ac:dyDescent="0.4">
      <c r="A109" s="263" t="s">
        <v>95</v>
      </c>
      <c r="B109" s="264">
        <v>50</v>
      </c>
      <c r="C109" s="410">
        <v>2</v>
      </c>
      <c r="D109" s="412">
        <v>4125022</v>
      </c>
      <c r="E109" s="390">
        <f t="shared" si="1"/>
        <v>156.56469265352058</v>
      </c>
      <c r="F109" s="417">
        <f t="shared" si="2"/>
        <v>97.852932908450356</v>
      </c>
    </row>
    <row r="110" spans="1:10" ht="26.25" customHeight="1" x14ac:dyDescent="0.4">
      <c r="A110" s="263" t="s">
        <v>96</v>
      </c>
      <c r="B110" s="264">
        <v>1</v>
      </c>
      <c r="C110" s="410">
        <v>3</v>
      </c>
      <c r="D110" s="412">
        <v>4124462</v>
      </c>
      <c r="E110" s="390">
        <f t="shared" si="1"/>
        <v>156.54343792375528</v>
      </c>
      <c r="F110" s="417">
        <f t="shared" si="2"/>
        <v>97.839648702347048</v>
      </c>
    </row>
    <row r="111" spans="1:10" ht="26.25" customHeight="1" x14ac:dyDescent="0.4">
      <c r="A111" s="263" t="s">
        <v>97</v>
      </c>
      <c r="B111" s="264">
        <v>1</v>
      </c>
      <c r="C111" s="410">
        <v>4</v>
      </c>
      <c r="D111" s="412">
        <v>4106579</v>
      </c>
      <c r="E111" s="390">
        <f t="shared" si="1"/>
        <v>155.86469090162475</v>
      </c>
      <c r="F111" s="417">
        <f t="shared" si="2"/>
        <v>97.415431813515468</v>
      </c>
    </row>
    <row r="112" spans="1:10" ht="26.25" customHeight="1" x14ac:dyDescent="0.4">
      <c r="A112" s="263" t="s">
        <v>98</v>
      </c>
      <c r="B112" s="264">
        <v>1</v>
      </c>
      <c r="C112" s="410">
        <v>5</v>
      </c>
      <c r="D112" s="412">
        <v>4093979</v>
      </c>
      <c r="E112" s="390">
        <f t="shared" si="1"/>
        <v>155.38645948190521</v>
      </c>
      <c r="F112" s="417">
        <f t="shared" si="2"/>
        <v>97.116537176190747</v>
      </c>
    </row>
    <row r="113" spans="1:10" ht="27" customHeight="1" x14ac:dyDescent="0.4">
      <c r="A113" s="263" t="s">
        <v>100</v>
      </c>
      <c r="B113" s="264">
        <v>1</v>
      </c>
      <c r="C113" s="411">
        <v>6</v>
      </c>
      <c r="D113" s="413">
        <v>4100342</v>
      </c>
      <c r="E113" s="391">
        <f t="shared" si="1"/>
        <v>155.62796634886357</v>
      </c>
      <c r="F113" s="418">
        <f t="shared" si="2"/>
        <v>97.26747896803974</v>
      </c>
    </row>
    <row r="114" spans="1:10" ht="27" customHeight="1" x14ac:dyDescent="0.4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156.04090273267909</v>
      </c>
      <c r="F115" s="420">
        <f>AVERAGE(F108:F113)</f>
        <v>97.525564207924432</v>
      </c>
    </row>
    <row r="116" spans="1:10" ht="27" customHeight="1" x14ac:dyDescent="0.4">
      <c r="A116" s="263" t="s">
        <v>103</v>
      </c>
      <c r="B116" s="295">
        <f>(B115/B114)*(B113/B112)*(B111/B110)*(B109/B108)*B107</f>
        <v>4500</v>
      </c>
      <c r="C116" s="373"/>
      <c r="D116" s="397" t="s">
        <v>84</v>
      </c>
      <c r="E116" s="395">
        <f>STDEV(E108:E113)/E115</f>
        <v>3.1447310678505988E-3</v>
      </c>
      <c r="F116" s="374">
        <f>STDEV(F108:F113)/F115</f>
        <v>3.1447310678505902E-3</v>
      </c>
      <c r="I116" s="237"/>
    </row>
    <row r="117" spans="1:10" ht="27" customHeight="1" x14ac:dyDescent="0.4">
      <c r="A117" s="529" t="s">
        <v>78</v>
      </c>
      <c r="B117" s="530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531"/>
      <c r="B118" s="532"/>
      <c r="C118" s="237"/>
      <c r="D118" s="399"/>
      <c r="E118" s="557" t="s">
        <v>123</v>
      </c>
      <c r="F118" s="558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124</v>
      </c>
      <c r="E119" s="402">
        <f>MIN(E108:E113)</f>
        <v>155.38645948190521</v>
      </c>
      <c r="F119" s="421">
        <f>MIN(F108:F113)</f>
        <v>97.116537176190747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125</v>
      </c>
      <c r="E120" s="403">
        <f>MAX(E108:E113)</f>
        <v>156.56469265352058</v>
      </c>
      <c r="F120" s="422">
        <f>MAX(F108:F113)</f>
        <v>97.852932908450356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106</v>
      </c>
      <c r="B124" s="336" t="s">
        <v>126</v>
      </c>
      <c r="C124" s="533" t="str">
        <f>B26</f>
        <v>Trimethoprim</v>
      </c>
      <c r="D124" s="533"/>
      <c r="E124" s="337" t="s">
        <v>127</v>
      </c>
      <c r="F124" s="337"/>
      <c r="G124" s="423">
        <f>F115</f>
        <v>97.525564207924432</v>
      </c>
      <c r="H124" s="237"/>
      <c r="I124" s="237"/>
    </row>
    <row r="125" spans="1:10" ht="45.75" customHeight="1" x14ac:dyDescent="0.65">
      <c r="A125" s="247"/>
      <c r="B125" s="336" t="s">
        <v>128</v>
      </c>
      <c r="C125" s="248" t="s">
        <v>129</v>
      </c>
      <c r="D125" s="423">
        <f>MIN(F108:F113)</f>
        <v>97.116537176190747</v>
      </c>
      <c r="E125" s="348" t="s">
        <v>130</v>
      </c>
      <c r="F125" s="423">
        <f>MAX(F108:F113)</f>
        <v>97.852932908450356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534" t="s">
        <v>26</v>
      </c>
      <c r="C127" s="534"/>
      <c r="E127" s="343" t="s">
        <v>27</v>
      </c>
      <c r="F127" s="378"/>
      <c r="G127" s="534" t="s">
        <v>28</v>
      </c>
      <c r="H127" s="534"/>
    </row>
    <row r="128" spans="1:10" ht="69.95" customHeight="1" x14ac:dyDescent="0.3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Sulfamethoxazole</vt:lpstr>
      <vt:lpstr>SST Trimethoprim</vt:lpstr>
      <vt:lpstr>Uniformity</vt:lpstr>
      <vt:lpstr>Sulfamethoxazole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dcterms:created xsi:type="dcterms:W3CDTF">2005-07-05T10:19:27Z</dcterms:created>
  <dcterms:modified xsi:type="dcterms:W3CDTF">2016-12-01T08:53:48Z</dcterms:modified>
</cp:coreProperties>
</file>