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isoniazid!$A$1:$N$130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D33" i="2"/>
  <c r="D37" i="2"/>
  <c r="D25" i="2"/>
  <c r="D41" i="2"/>
  <c r="D26" i="2"/>
  <c r="D30" i="2"/>
  <c r="D34" i="2"/>
  <c r="D38" i="2"/>
  <c r="D42" i="2"/>
  <c r="B49" i="2"/>
  <c r="D27" i="2"/>
  <c r="D31" i="2"/>
  <c r="D35" i="2"/>
  <c r="D39" i="2"/>
  <c r="D43" i="2"/>
  <c r="C49" i="2"/>
  <c r="D24" i="2"/>
  <c r="D28" i="2"/>
  <c r="D32" i="2"/>
  <c r="D36" i="2"/>
  <c r="D40" i="2"/>
  <c r="I92" i="3"/>
  <c r="D101" i="3"/>
  <c r="D102" i="3" s="1"/>
  <c r="F97" i="3"/>
  <c r="F98" i="3" s="1"/>
  <c r="F99" i="3" s="1"/>
  <c r="I39" i="3"/>
  <c r="F45" i="3"/>
  <c r="F46" i="3" s="1"/>
  <c r="D45" i="3"/>
  <c r="D46" i="3" s="1"/>
  <c r="D98" i="3"/>
  <c r="D99" i="3" s="1"/>
  <c r="G41" i="3"/>
  <c r="E38" i="3"/>
  <c r="D49" i="3"/>
  <c r="G38" i="3"/>
  <c r="G39" i="3"/>
  <c r="G40" i="3"/>
  <c r="D49" i="2"/>
  <c r="B57" i="3"/>
  <c r="B69" i="3" s="1"/>
  <c r="C50" i="2"/>
  <c r="E91" i="3" l="1"/>
  <c r="E94" i="3"/>
  <c r="E93" i="3"/>
  <c r="E92" i="3"/>
  <c r="E41" i="3"/>
  <c r="E40" i="3"/>
  <c r="G94" i="3"/>
  <c r="G93" i="3"/>
  <c r="E39" i="3"/>
  <c r="G42" i="3"/>
  <c r="G92" i="3"/>
  <c r="G91" i="3"/>
  <c r="E95" i="3" l="1"/>
  <c r="D105" i="3"/>
  <c r="G95" i="3"/>
  <c r="D52" i="3"/>
  <c r="D50" i="3"/>
  <c r="G66" i="3" s="1"/>
  <c r="H66" i="3" s="1"/>
  <c r="E42" i="3"/>
  <c r="D103" i="3"/>
  <c r="E110" i="3" s="1"/>
  <c r="F110" i="3" s="1"/>
  <c r="G68" i="3"/>
  <c r="H68" i="3" s="1"/>
  <c r="G71" i="3"/>
  <c r="H71" i="3" s="1"/>
  <c r="D104" i="3" l="1"/>
  <c r="E111" i="3"/>
  <c r="F111" i="3" s="1"/>
  <c r="E108" i="3"/>
  <c r="E113" i="3"/>
  <c r="F113" i="3" s="1"/>
  <c r="E112" i="3"/>
  <c r="F112" i="3" s="1"/>
  <c r="G65" i="3"/>
  <c r="H65" i="3" s="1"/>
  <c r="G69" i="3"/>
  <c r="H69" i="3" s="1"/>
  <c r="G70" i="3"/>
  <c r="H70" i="3" s="1"/>
  <c r="G60" i="3"/>
  <c r="H60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09" i="3"/>
  <c r="F109" i="3" s="1"/>
  <c r="E119" i="3" l="1"/>
  <c r="F108" i="3"/>
  <c r="F117" i="3" s="1"/>
  <c r="E115" i="3"/>
  <c r="E116" i="3" s="1"/>
  <c r="E120" i="3"/>
  <c r="G72" i="3"/>
  <c r="G73" i="3" s="1"/>
  <c r="G74" i="3"/>
  <c r="E117" i="3"/>
  <c r="H74" i="3"/>
  <c r="H72" i="3"/>
  <c r="F125" i="3"/>
  <c r="F119" i="3" l="1"/>
  <c r="F115" i="3"/>
  <c r="G124" i="3" s="1"/>
  <c r="D125" i="3"/>
  <c r="F120" i="3"/>
  <c r="G76" i="3"/>
  <c r="H73" i="3"/>
  <c r="F116" i="3" l="1"/>
</calcChain>
</file>

<file path=xl/sharedStrings.xml><?xml version="1.0" encoding="utf-8"?>
<sst xmlns="http://schemas.openxmlformats.org/spreadsheetml/2006/main" count="236" uniqueCount="136">
  <si>
    <t>HPLC System Suitability Report</t>
  </si>
  <si>
    <t>Analysis Data</t>
  </si>
  <si>
    <t>Assay</t>
  </si>
  <si>
    <t>Sample(s)</t>
  </si>
  <si>
    <t>Reference Substance:</t>
  </si>
  <si>
    <t>ISONIAZID TABLETS B.P 300 MG</t>
  </si>
  <si>
    <t>% age Purity:</t>
  </si>
  <si>
    <t>NDQB201610170</t>
  </si>
  <si>
    <t>Weight (mg):</t>
  </si>
  <si>
    <t>Isoniazid</t>
  </si>
  <si>
    <t>Standard Conc (mg/mL):</t>
  </si>
  <si>
    <t xml:space="preserve">Each tablet conatins Isoniazid B.P 300 mg </t>
  </si>
  <si>
    <t>2016-10-19 11:47:38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</si>
  <si>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</si>
  <si>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</si>
  <si>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</si>
  <si>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</si>
  <si>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</si>
  <si>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</si>
  <si>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</si>
  <si>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</si>
  <si>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</si>
  <si>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</si>
  <si>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</si>
  <si>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</si>
  <si>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</si>
  <si>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</si>
  <si>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</si>
  <si>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</si>
  <si>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</si>
  <si>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</si>
  <si>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</si>
  <si>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</si>
  <si>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</si>
  <si>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</si>
  <si>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</si>
  <si>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</si>
  <si>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</si>
  <si>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</si>
  <si>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</si>
  <si>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</si>
  <si>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</si>
  <si>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</si>
  <si>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</si>
  <si>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</si>
  <si>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</si>
  <si>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</si>
  <si>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</si>
  <si>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</si>
  <si>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</si>
  <si>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</si>
  <si>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</si>
  <si>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</si>
  <si>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</si>
  <si>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</si>
  <si>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</si>
  <si>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</si>
  <si>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</si>
  <si>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</si>
  <si>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</si>
  <si>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</si>
  <si>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</si>
  <si>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</si>
  <si>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</si>
  <si>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</si>
  <si>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</si>
  <si>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</si>
  <si>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</si>
  <si>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</si>
  <si>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</si>
  <si>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</si>
  <si>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</si>
  <si>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</si>
  <si>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</si>
  <si>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</si>
  <si>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</si>
  <si>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</si>
  <si>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</si>
  <si>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</si>
  <si>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</si>
  <si>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</si>
  <si>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</si>
  <si>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</si>
  <si>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</si>
  <si>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</si>
  <si>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</si>
  <si>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</si>
  <si>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</si>
  <si>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</si>
  <si>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</si>
  <si>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</si>
  <si>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</si>
  <si>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</si>
  <si>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</si>
  <si>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</si>
  <si>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</si>
  <si>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</si>
  <si>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</si>
  <si>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</si>
  <si>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</si>
  <si>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</si>
  <si>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</si>
  <si>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</si>
  <si>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</si>
  <si>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</si>
  <si>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</si>
  <si>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</si>
  <si>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</si>
  <si>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</si>
  <si>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</si>
  <si>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</si>
  <si>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</si>
  <si>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</si>
  <si>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</si>
  <si>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</si>
  <si>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</si>
  <si>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</si>
  <si>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</si>
  <si>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</si>
  <si>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</si>
  <si>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</si>
  <si>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</si>
  <si>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</si>
  <si>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</si>
  <si>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</si>
  <si>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</si>
  <si>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</si>
  <si>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</si>
  <si>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</si>
  <si>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</si>
  <si>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</si>
  <si>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</si>
  <si>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NDQB201610173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</si>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</sst>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2" fontId="6" fillId="2" borderId="0" xfId="0" applyNumberFormat="1" applyFont="1" applyFill="1"/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16.739999999999998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0.33479999999999999</v>
      </c>
      <c r="C21" s="10"/>
      <c r="D21" s="10"/>
      <c r="E21" s="10"/>
    </row>
    <row r="22" spans="1:6" ht="15.75" customHeight="1" x14ac:dyDescent="0.25">
      <c r="A22" s="10"/>
      <c r="B22" s="280">
        <v>42675.491412037038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99129164</v>
      </c>
      <c r="C24" s="18">
        <v>10766.5</v>
      </c>
      <c r="D24" s="19">
        <v>1.0900000000000001</v>
      </c>
      <c r="E24" s="20">
        <v>4.67</v>
      </c>
    </row>
    <row r="25" spans="1:6" ht="16.5" customHeight="1" x14ac:dyDescent="0.3">
      <c r="A25" s="17">
        <v>2</v>
      </c>
      <c r="B25" s="18">
        <v>99064982</v>
      </c>
      <c r="C25" s="18">
        <v>10773.21</v>
      </c>
      <c r="D25" s="19">
        <v>1.1000000000000001</v>
      </c>
      <c r="E25" s="19">
        <v>4.67</v>
      </c>
    </row>
    <row r="26" spans="1:6" ht="16.5" customHeight="1" x14ac:dyDescent="0.3">
      <c r="A26" s="17">
        <v>3</v>
      </c>
      <c r="B26" s="18">
        <v>98819933</v>
      </c>
      <c r="C26" s="18">
        <v>10767.61</v>
      </c>
      <c r="D26" s="19">
        <v>1.0900000000000001</v>
      </c>
      <c r="E26" s="19">
        <v>4.67</v>
      </c>
    </row>
    <row r="27" spans="1:6" ht="16.5" customHeight="1" x14ac:dyDescent="0.3">
      <c r="A27" s="17">
        <v>4</v>
      </c>
      <c r="B27" s="18">
        <v>99189675</v>
      </c>
      <c r="C27" s="18">
        <v>10791.57</v>
      </c>
      <c r="D27" s="19">
        <v>1.1000000000000001</v>
      </c>
      <c r="E27" s="19">
        <v>4.67</v>
      </c>
    </row>
    <row r="28" spans="1:6" ht="16.5" customHeight="1" x14ac:dyDescent="0.3">
      <c r="A28" s="17">
        <v>5</v>
      </c>
      <c r="B28" s="18">
        <v>99393147</v>
      </c>
      <c r="C28" s="18">
        <v>10784.49</v>
      </c>
      <c r="D28" s="19">
        <v>1.1000000000000001</v>
      </c>
      <c r="E28" s="19">
        <v>4.67</v>
      </c>
    </row>
    <row r="29" spans="1:6" ht="16.5" customHeight="1" x14ac:dyDescent="0.3">
      <c r="A29" s="17">
        <v>6</v>
      </c>
      <c r="B29" s="21">
        <v>98892957</v>
      </c>
      <c r="C29" s="21">
        <v>10789.61</v>
      </c>
      <c r="D29" s="22">
        <v>1.1000000000000001</v>
      </c>
      <c r="E29" s="22">
        <v>4.67</v>
      </c>
    </row>
    <row r="30" spans="1:6" ht="16.5" customHeight="1" x14ac:dyDescent="0.3">
      <c r="A30" s="23" t="s">
        <v>18</v>
      </c>
      <c r="B30" s="24">
        <f>AVERAGE(B24:B29)</f>
        <v>99081643</v>
      </c>
      <c r="C30" s="25">
        <f>AVERAGE(C24:C29)</f>
        <v>10778.831666666667</v>
      </c>
      <c r="D30" s="26">
        <f>AVERAGE(D24:D29)</f>
        <v>1.0966666666666667</v>
      </c>
      <c r="E30" s="26">
        <f>AVERAGE(E24:E29)</f>
        <v>4.6700000000000008</v>
      </c>
    </row>
    <row r="31" spans="1:6" ht="16.5" customHeight="1" x14ac:dyDescent="0.3">
      <c r="A31" s="27" t="s">
        <v>19</v>
      </c>
      <c r="B31" s="28">
        <f>(STDEV(B24:B29)/B30)</f>
        <v>2.0944989128748172E-3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133</v>
      </c>
      <c r="C34" s="38"/>
      <c r="D34" s="38"/>
      <c r="E34" s="39"/>
    </row>
    <row r="35" spans="1:6" ht="16.5" customHeight="1" x14ac:dyDescent="0.3">
      <c r="A35" s="11"/>
      <c r="B35" s="37" t="s">
        <v>134</v>
      </c>
      <c r="C35" s="38"/>
      <c r="D35" s="38"/>
      <c r="E35" s="39"/>
      <c r="F35" s="2"/>
    </row>
    <row r="36" spans="1:6" ht="16.5" customHeight="1" x14ac:dyDescent="0.3">
      <c r="A36" s="11"/>
      <c r="B36" s="40" t="s">
        <v>135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399.37</v>
      </c>
      <c r="D24" s="87">
        <f t="shared" ref="D24:D43" si="0">(C24-$C$46)/$C$46</f>
        <v>-3.1002566073907384E-3</v>
      </c>
      <c r="E24" s="53"/>
    </row>
    <row r="25" spans="1:5" ht="15.75" customHeight="1" x14ac:dyDescent="0.3">
      <c r="C25" s="95">
        <v>387.2</v>
      </c>
      <c r="D25" s="88">
        <f t="shared" si="0"/>
        <v>-3.3478777470470268E-2</v>
      </c>
      <c r="E25" s="53"/>
    </row>
    <row r="26" spans="1:5" ht="15.75" customHeight="1" x14ac:dyDescent="0.3">
      <c r="C26" s="95">
        <v>400.92</v>
      </c>
      <c r="D26" s="88">
        <f t="shared" si="0"/>
        <v>7.6882369973938056E-4</v>
      </c>
      <c r="E26" s="53"/>
    </row>
    <row r="27" spans="1:5" ht="15.75" customHeight="1" x14ac:dyDescent="0.3">
      <c r="C27" s="95">
        <v>403.47</v>
      </c>
      <c r="D27" s="88">
        <f t="shared" si="0"/>
        <v>7.1340848501792358E-3</v>
      </c>
      <c r="E27" s="53"/>
    </row>
    <row r="28" spans="1:5" ht="15.75" customHeight="1" x14ac:dyDescent="0.3">
      <c r="C28" s="95">
        <v>402.01</v>
      </c>
      <c r="D28" s="88">
        <f t="shared" si="0"/>
        <v>3.4896608189469301E-3</v>
      </c>
      <c r="E28" s="53"/>
    </row>
    <row r="29" spans="1:5" ht="15.75" customHeight="1" x14ac:dyDescent="0.3">
      <c r="C29" s="95">
        <v>400.26</v>
      </c>
      <c r="D29" s="88">
        <f t="shared" si="0"/>
        <v>-8.7865565684510771E-4</v>
      </c>
      <c r="E29" s="53"/>
    </row>
    <row r="30" spans="1:5" ht="15.75" customHeight="1" x14ac:dyDescent="0.3">
      <c r="C30" s="95">
        <v>405.49</v>
      </c>
      <c r="D30" s="88">
        <f t="shared" si="0"/>
        <v>1.2176370153664857E-2</v>
      </c>
      <c r="E30" s="53"/>
    </row>
    <row r="31" spans="1:5" ht="15.75" customHeight="1" x14ac:dyDescent="0.3">
      <c r="C31" s="95">
        <v>404.33</v>
      </c>
      <c r="D31" s="88">
        <f t="shared" si="0"/>
        <v>9.2808003754255002E-3</v>
      </c>
      <c r="E31" s="53"/>
    </row>
    <row r="32" spans="1:5" ht="15.75" customHeight="1" x14ac:dyDescent="0.3">
      <c r="C32" s="95">
        <v>395.82</v>
      </c>
      <c r="D32" s="88">
        <f t="shared" si="0"/>
        <v>-1.196169860114033E-2</v>
      </c>
      <c r="E32" s="53"/>
    </row>
    <row r="33" spans="1:7" ht="15.75" customHeight="1" x14ac:dyDescent="0.3">
      <c r="C33" s="95">
        <v>404.33</v>
      </c>
      <c r="D33" s="88">
        <f t="shared" si="0"/>
        <v>9.2808003754255002E-3</v>
      </c>
      <c r="E33" s="53"/>
    </row>
    <row r="34" spans="1:7" ht="15.75" customHeight="1" x14ac:dyDescent="0.3">
      <c r="C34" s="95">
        <v>402.91</v>
      </c>
      <c r="D34" s="88">
        <f t="shared" si="0"/>
        <v>5.7362235779257779E-3</v>
      </c>
      <c r="E34" s="53"/>
    </row>
    <row r="35" spans="1:7" ht="15.75" customHeight="1" x14ac:dyDescent="0.3">
      <c r="C35" s="95">
        <v>406.06</v>
      </c>
      <c r="D35" s="88">
        <f t="shared" si="0"/>
        <v>1.359919323435139E-2</v>
      </c>
      <c r="E35" s="53"/>
    </row>
    <row r="36" spans="1:7" ht="15.75" customHeight="1" x14ac:dyDescent="0.3">
      <c r="C36" s="95">
        <v>402.44</v>
      </c>
      <c r="D36" s="88">
        <f t="shared" si="0"/>
        <v>4.5630185815701335E-3</v>
      </c>
      <c r="E36" s="53"/>
    </row>
    <row r="37" spans="1:7" ht="15.75" customHeight="1" x14ac:dyDescent="0.3">
      <c r="C37" s="95">
        <v>402.95</v>
      </c>
      <c r="D37" s="88">
        <f t="shared" si="0"/>
        <v>5.8360708116580763E-3</v>
      </c>
      <c r="E37" s="53"/>
    </row>
    <row r="38" spans="1:7" ht="15.75" customHeight="1" x14ac:dyDescent="0.3">
      <c r="C38" s="95">
        <v>401.82</v>
      </c>
      <c r="D38" s="88">
        <f t="shared" si="0"/>
        <v>3.0153864587180862E-3</v>
      </c>
      <c r="E38" s="53"/>
    </row>
    <row r="39" spans="1:7" ht="15.75" customHeight="1" x14ac:dyDescent="0.3">
      <c r="C39" s="95">
        <v>395.53</v>
      </c>
      <c r="D39" s="88">
        <f t="shared" si="0"/>
        <v>-1.2685591045700204E-2</v>
      </c>
      <c r="E39" s="53"/>
    </row>
    <row r="40" spans="1:7" ht="15.75" customHeight="1" x14ac:dyDescent="0.3">
      <c r="C40" s="95">
        <v>404.77</v>
      </c>
      <c r="D40" s="88">
        <f t="shared" si="0"/>
        <v>1.0379119946481779E-2</v>
      </c>
      <c r="E40" s="53"/>
    </row>
    <row r="41" spans="1:7" ht="15.75" customHeight="1" x14ac:dyDescent="0.3">
      <c r="C41" s="95">
        <v>397.16</v>
      </c>
      <c r="D41" s="88">
        <f t="shared" si="0"/>
        <v>-8.6168162711052036E-3</v>
      </c>
      <c r="E41" s="53"/>
    </row>
    <row r="42" spans="1:7" ht="15.75" customHeight="1" x14ac:dyDescent="0.3">
      <c r="C42" s="95">
        <v>399.22</v>
      </c>
      <c r="D42" s="88">
        <f t="shared" si="0"/>
        <v>-3.4746837338871421E-3</v>
      </c>
      <c r="E42" s="53"/>
    </row>
    <row r="43" spans="1:7" ht="16.5" customHeight="1" x14ac:dyDescent="0.3">
      <c r="C43" s="96">
        <v>396.18</v>
      </c>
      <c r="D43" s="89">
        <f t="shared" si="0"/>
        <v>-1.106307349754879E-2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8012.2400000000007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400.61200000000002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400.61200000000002</v>
      </c>
      <c r="C49" s="93">
        <f>-IF(C46&lt;=80,10%,IF(C46&lt;250,7.5%,5%))</f>
        <v>-0.05</v>
      </c>
      <c r="D49" s="81">
        <f>IF(C46&lt;=80,C46*0.9,IF(C46&lt;250,C46*0.925,C46*0.95))</f>
        <v>380.58140000000003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420.64260000000002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6" zoomScale="55" zoomScaleNormal="40" zoomScaleSheetLayoutView="55" zoomScalePageLayoutView="44" workbookViewId="0">
      <selection activeCell="C251" sqref="C2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45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46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132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9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>
        <v>42675.491412037038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42676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131</v>
      </c>
      <c r="C26" s="326"/>
    </row>
    <row r="27" spans="1:14" ht="26.25" customHeight="1" x14ac:dyDescent="0.4">
      <c r="A27" s="109" t="s">
        <v>48</v>
      </c>
      <c r="B27" s="332"/>
      <c r="C27" s="332"/>
    </row>
    <row r="28" spans="1:14" ht="27" customHeight="1" x14ac:dyDescent="0.4">
      <c r="A28" s="109" t="s">
        <v>6</v>
      </c>
      <c r="B28" s="110">
        <v>100.3</v>
      </c>
    </row>
    <row r="29" spans="1:14" s="14" customFormat="1" ht="27" customHeight="1" x14ac:dyDescent="0.4">
      <c r="A29" s="109" t="s">
        <v>49</v>
      </c>
      <c r="B29" s="111">
        <v>0</v>
      </c>
      <c r="C29" s="302" t="s">
        <v>50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5" t="s">
        <v>53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5" t="s">
        <v>55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8" t="s">
        <v>59</v>
      </c>
      <c r="E36" s="333"/>
      <c r="F36" s="308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97845765</v>
      </c>
      <c r="E38" s="133">
        <f>IF(ISBLANK(D38),"-",$D$48/$D$45*D38)</f>
        <v>93240722.277611628</v>
      </c>
      <c r="F38" s="132">
        <v>91724772</v>
      </c>
      <c r="G38" s="134">
        <f>IF(ISBLANK(F38),"-",$D$48/$F$45*F38)</f>
        <v>90601036.025051787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98046272</v>
      </c>
      <c r="E39" s="138">
        <f>IF(ISBLANK(D39),"-",$D$48/$D$45*D39)</f>
        <v>93431792.555428118</v>
      </c>
      <c r="F39" s="137">
        <v>91989964</v>
      </c>
      <c r="G39" s="139">
        <f>IF(ISBLANK(F39),"-",$D$48/$F$45*F39)</f>
        <v>90862979.112199023</v>
      </c>
      <c r="I39" s="310">
        <f>ABS((F43/D43*D42)-F42)/D42</f>
        <v>2.544673339123852E-2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98133835</v>
      </c>
      <c r="E40" s="138">
        <f>IF(ISBLANK(D40),"-",$D$48/$D$45*D40)</f>
        <v>93515234.463872433</v>
      </c>
      <c r="F40" s="137">
        <v>92466219</v>
      </c>
      <c r="G40" s="139">
        <f>IF(ISBLANK(F40),"-",$D$48/$F$45*F40)</f>
        <v>91333399.430192411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98008624</v>
      </c>
      <c r="E42" s="148">
        <f>AVERAGE(E38:E41)</f>
        <v>93395916.432304069</v>
      </c>
      <c r="F42" s="147">
        <f>AVERAGE(F38:F41)</f>
        <v>92060318.333333328</v>
      </c>
      <c r="G42" s="149">
        <f>AVERAGE(G38:G41)</f>
        <v>90932471.522481084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16.739999999999998</v>
      </c>
      <c r="E43" s="140"/>
      <c r="F43" s="152">
        <v>16.149999999999999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16.739999999999998</v>
      </c>
      <c r="E44" s="155"/>
      <c r="F44" s="154">
        <f>F43*$B$34</f>
        <v>16.149999999999999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16.790219999999998</v>
      </c>
      <c r="E45" s="158"/>
      <c r="F45" s="157">
        <f>F44*$B$30/100</f>
        <v>16.198449999999998</v>
      </c>
      <c r="H45" s="150"/>
    </row>
    <row r="46" spans="1:14" ht="19.5" customHeight="1" x14ac:dyDescent="0.3">
      <c r="A46" s="296" t="s">
        <v>78</v>
      </c>
      <c r="B46" s="297"/>
      <c r="C46" s="153" t="s">
        <v>79</v>
      </c>
      <c r="D46" s="159">
        <f>D45/$B$45</f>
        <v>0.33580439999999995</v>
      </c>
      <c r="E46" s="160"/>
      <c r="F46" s="161">
        <f>F45/$B$45</f>
        <v>0.32396899999999995</v>
      </c>
      <c r="H46" s="150"/>
    </row>
    <row r="47" spans="1:14" ht="27" customHeight="1" x14ac:dyDescent="0.4">
      <c r="A47" s="298"/>
      <c r="B47" s="299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92164193.977392554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1.4891181787390802E-2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tablet conatins Isoniazid B.P 300 mg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Isoniazid</v>
      </c>
      <c r="H56" s="179"/>
    </row>
    <row r="57" spans="1:12" ht="18.75" x14ac:dyDescent="0.3">
      <c r="A57" s="176" t="s">
        <v>88</v>
      </c>
      <c r="B57" s="245">
        <f>Uniformity!C46</f>
        <v>400.61200000000002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3" t="s">
        <v>94</v>
      </c>
      <c r="D60" s="316">
        <v>45.9</v>
      </c>
      <c r="E60" s="182">
        <v>1</v>
      </c>
      <c r="F60" s="183"/>
      <c r="G60" s="246" t="str">
        <f>IF(ISBLANK(F60),"-",(F60/$D$50*$D$47*$B$68)*($B$57/$D$60))</f>
        <v>-</v>
      </c>
      <c r="H60" s="264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4"/>
      <c r="D61" s="317"/>
      <c r="E61" s="184">
        <v>2</v>
      </c>
      <c r="F61" s="137"/>
      <c r="G61" s="247" t="str">
        <f>IF(ISBLANK(F61),"-",(F61/$D$50*$D$47*$B$68)*($B$57/$D$60))</f>
        <v>-</v>
      </c>
      <c r="H61" s="265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4">
        <v>3</v>
      </c>
      <c r="F62" s="185">
        <v>97102413</v>
      </c>
      <c r="G62" s="247">
        <f>IF(ISBLANK(F62),"-",(F62/$D$50*$D$47*$B$68)*($B$57/$D$60))</f>
        <v>294.25851560696168</v>
      </c>
      <c r="H62" s="265">
        <f t="shared" si="0"/>
        <v>98.086171868987222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8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44.78</v>
      </c>
      <c r="E64" s="182">
        <v>1</v>
      </c>
      <c r="F64" s="183">
        <v>98498413</v>
      </c>
      <c r="G64" s="246">
        <f>IF(ISBLANK(F64),"-",(F64/$D$50*$D$47*$B$68)*($B$57/$D$64))</f>
        <v>305.95450131172623</v>
      </c>
      <c r="H64" s="264">
        <f t="shared" si="0"/>
        <v>101.98483377057541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4">
        <v>2</v>
      </c>
      <c r="F65" s="137">
        <v>98480923</v>
      </c>
      <c r="G65" s="247">
        <f>IF(ISBLANK(F65),"-",(F65/$D$50*$D$47*$B$68)*($B$57/$D$64))</f>
        <v>305.90017409908427</v>
      </c>
      <c r="H65" s="265">
        <f t="shared" si="0"/>
        <v>101.96672469969477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4">
        <v>3</v>
      </c>
      <c r="F66" s="137">
        <v>98629785</v>
      </c>
      <c r="G66" s="247">
        <f>IF(ISBLANK(F66),"-",(F66/$D$50*$D$47*$B$68)*($B$57/$D$64))</f>
        <v>306.36256732540215</v>
      </c>
      <c r="H66" s="265">
        <f t="shared" si="0"/>
        <v>102.12085577513406</v>
      </c>
    </row>
    <row r="67" spans="1:8" ht="27" customHeight="1" x14ac:dyDescent="0.4">
      <c r="A67" s="124" t="s">
        <v>102</v>
      </c>
      <c r="B67" s="125">
        <v>1</v>
      </c>
      <c r="C67" s="323"/>
      <c r="D67" s="318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13" t="s">
        <v>104</v>
      </c>
      <c r="D68" s="316">
        <v>43.37</v>
      </c>
      <c r="E68" s="182">
        <v>1</v>
      </c>
      <c r="F68" s="183">
        <v>97148257</v>
      </c>
      <c r="G68" s="246">
        <f>IF(ISBLANK(F68),"-",(F68/$D$50*$D$47*$B$68)*($B$57/$D$68))</f>
        <v>311.57119069045069</v>
      </c>
      <c r="H68" s="265">
        <f t="shared" si="0"/>
        <v>103.85706356348356</v>
      </c>
    </row>
    <row r="69" spans="1:8" ht="27" customHeight="1" x14ac:dyDescent="0.4">
      <c r="A69" s="172" t="s">
        <v>105</v>
      </c>
      <c r="B69" s="189">
        <f>(D47*B68)/B56*B57</f>
        <v>42.731946666666673</v>
      </c>
      <c r="C69" s="314"/>
      <c r="D69" s="317"/>
      <c r="E69" s="184">
        <v>2</v>
      </c>
      <c r="F69" s="137">
        <v>97139202</v>
      </c>
      <c r="G69" s="247">
        <f>IF(ISBLANK(F69),"-",(F69/$D$50*$D$47*$B$68)*($B$57/$D$68))</f>
        <v>311.54214974603423</v>
      </c>
      <c r="H69" s="265">
        <f t="shared" si="0"/>
        <v>103.84738324867809</v>
      </c>
    </row>
    <row r="70" spans="1:8" ht="26.25" customHeight="1" x14ac:dyDescent="0.4">
      <c r="A70" s="319" t="s">
        <v>78</v>
      </c>
      <c r="B70" s="320"/>
      <c r="C70" s="314"/>
      <c r="D70" s="317"/>
      <c r="E70" s="184">
        <v>3</v>
      </c>
      <c r="F70" s="137">
        <v>97104723</v>
      </c>
      <c r="G70" s="247">
        <f>IF(ISBLANK(F70),"-",(F70/$D$50*$D$47*$B$68)*($B$57/$D$68))</f>
        <v>311.43156965519614</v>
      </c>
      <c r="H70" s="265">
        <f t="shared" si="0"/>
        <v>103.81052321839871</v>
      </c>
    </row>
    <row r="71" spans="1:8" ht="27" customHeight="1" x14ac:dyDescent="0.4">
      <c r="A71" s="321"/>
      <c r="B71" s="322"/>
      <c r="C71" s="315"/>
      <c r="D71" s="318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2">
        <f>AVERAGE(G60:G71)</f>
        <v>306.71723834783648</v>
      </c>
      <c r="H72" s="267">
        <f>AVERAGE(H60:H71)</f>
        <v>102.23907944927883</v>
      </c>
    </row>
    <row r="73" spans="1:8" ht="26.25" customHeight="1" x14ac:dyDescent="0.4">
      <c r="C73" s="190"/>
      <c r="D73" s="190"/>
      <c r="E73" s="190"/>
      <c r="F73" s="193" t="s">
        <v>84</v>
      </c>
      <c r="G73" s="251">
        <f>STDEV(G60:G71)/G72</f>
        <v>1.9994655807270393E-2</v>
      </c>
      <c r="H73" s="251">
        <f>STDEV(H60:H71)/H72</f>
        <v>1.9994655807270421E-2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300" t="str">
        <f>B26</f>
        <v>ISONIAZID</v>
      </c>
      <c r="D76" s="300"/>
      <c r="E76" s="198" t="s">
        <v>108</v>
      </c>
      <c r="F76" s="198"/>
      <c r="G76" s="199">
        <f>H72</f>
        <v>102.23907944927883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4" t="str">
        <f>B26</f>
        <v>ISONIAZID</v>
      </c>
      <c r="C79" s="334"/>
    </row>
    <row r="80" spans="1:8" ht="26.25" customHeight="1" x14ac:dyDescent="0.4">
      <c r="A80" s="109" t="s">
        <v>48</v>
      </c>
      <c r="B80" s="334">
        <f>B27</f>
        <v>0</v>
      </c>
      <c r="C80" s="334"/>
    </row>
    <row r="81" spans="1:12" ht="27" customHeight="1" x14ac:dyDescent="0.4">
      <c r="A81" s="109" t="s">
        <v>6</v>
      </c>
      <c r="B81" s="201">
        <f>B28</f>
        <v>100.3</v>
      </c>
    </row>
    <row r="82" spans="1:12" s="14" customFormat="1" ht="27" customHeight="1" x14ac:dyDescent="0.4">
      <c r="A82" s="109" t="s">
        <v>49</v>
      </c>
      <c r="B82" s="111">
        <v>0</v>
      </c>
      <c r="C82" s="302" t="s">
        <v>50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5" t="s">
        <v>111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5" t="s">
        <v>112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8" t="s">
        <v>60</v>
      </c>
      <c r="G89" s="309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0.54600000000000004</v>
      </c>
      <c r="E91" s="133">
        <f>IF(ISBLANK(D91),"-",$D$101/$D$98*D91)</f>
        <v>0.53337928601028195</v>
      </c>
      <c r="F91" s="132">
        <v>0.46800000000000003</v>
      </c>
      <c r="G91" s="134">
        <f>IF(ISBLANK(F91),"-",$D$101/$F$98*F91)</f>
        <v>0.5495879851611245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0.54600000000000004</v>
      </c>
      <c r="E92" s="138">
        <f>IF(ISBLANK(D92),"-",$D$101/$D$98*D92)</f>
        <v>0.53337928601028195</v>
      </c>
      <c r="F92" s="137">
        <v>0.46800000000000003</v>
      </c>
      <c r="G92" s="139">
        <f>IF(ISBLANK(F92),"-",$D$101/$F$98*F92)</f>
        <v>0.5495879851611245</v>
      </c>
      <c r="I92" s="310">
        <f>ABS((F96/D96*D95)-F95)/D95</f>
        <v>2.4756280535549624E-2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0.54700000000000004</v>
      </c>
      <c r="E93" s="138">
        <f>IF(ISBLANK(D93),"-",$D$101/$D$98*D93)</f>
        <v>0.53435617114949485</v>
      </c>
      <c r="F93" s="137">
        <v>0.46800000000000003</v>
      </c>
      <c r="G93" s="139">
        <f>IF(ISBLANK(F93),"-",$D$101/$F$98*F93)</f>
        <v>0.5495879851611245</v>
      </c>
      <c r="I93" s="310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335">
        <f>AVERAGE(D91:D94)</f>
        <v>0.54633333333333345</v>
      </c>
      <c r="E95" s="148">
        <f>AVERAGE(E91:E94)</f>
        <v>0.53370491439001955</v>
      </c>
      <c r="F95" s="336">
        <f>AVERAGE(F91:F94)</f>
        <v>0.46800000000000003</v>
      </c>
      <c r="G95" s="210">
        <f>AVERAGE(G91:G94)</f>
        <v>0.5495879851611245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17.010000000000002</v>
      </c>
      <c r="E96" s="140"/>
      <c r="F96" s="152">
        <v>14.15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17.010000000000002</v>
      </c>
      <c r="E97" s="155"/>
      <c r="F97" s="154">
        <f>F96*$B$87</f>
        <v>14.15</v>
      </c>
    </row>
    <row r="98" spans="1:10" ht="19.5" customHeight="1" x14ac:dyDescent="0.3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17.061030000000002</v>
      </c>
      <c r="E98" s="158"/>
      <c r="F98" s="157">
        <f>F97*$B$83/100</f>
        <v>14.192449999999999</v>
      </c>
    </row>
    <row r="99" spans="1:10" ht="19.5" customHeight="1" x14ac:dyDescent="0.3">
      <c r="A99" s="296" t="s">
        <v>78</v>
      </c>
      <c r="B99" s="311"/>
      <c r="C99" s="213" t="s">
        <v>116</v>
      </c>
      <c r="D99" s="217">
        <f>D98/$B$98</f>
        <v>1.3648824000000002E-2</v>
      </c>
      <c r="E99" s="158"/>
      <c r="F99" s="161">
        <f>F98/$B$98</f>
        <v>1.135396E-2</v>
      </c>
      <c r="G99" s="218"/>
      <c r="H99" s="150"/>
    </row>
    <row r="100" spans="1:10" ht="19.5" customHeight="1" x14ac:dyDescent="0.3">
      <c r="A100" s="298"/>
      <c r="B100" s="312"/>
      <c r="C100" s="213" t="s">
        <v>80</v>
      </c>
      <c r="D100" s="219">
        <f>$B$56/$B$116</f>
        <v>1.3333333333333334E-2</v>
      </c>
      <c r="F100" s="166"/>
      <c r="G100" s="220"/>
      <c r="H100" s="150"/>
    </row>
    <row r="101" spans="1:10" ht="18.75" x14ac:dyDescent="0.3">
      <c r="C101" s="213" t="s">
        <v>81</v>
      </c>
      <c r="D101" s="214">
        <f>D100*$B$98</f>
        <v>16.666666666666668</v>
      </c>
      <c r="F101" s="166"/>
      <c r="G101" s="218"/>
      <c r="H101" s="150"/>
    </row>
    <row r="102" spans="1:10" ht="19.5" customHeight="1" x14ac:dyDescent="0.3">
      <c r="C102" s="221" t="s">
        <v>82</v>
      </c>
      <c r="D102" s="222">
        <f>D101/B34</f>
        <v>16.666666666666668</v>
      </c>
      <c r="F102" s="170"/>
      <c r="G102" s="218"/>
      <c r="H102" s="150"/>
      <c r="J102" s="223"/>
    </row>
    <row r="103" spans="1:10" ht="18.75" x14ac:dyDescent="0.3">
      <c r="C103" s="224" t="s">
        <v>117</v>
      </c>
      <c r="D103" s="225">
        <f>AVERAGE(E91:E94,G91:G94)</f>
        <v>0.54164644977557208</v>
      </c>
      <c r="F103" s="170"/>
      <c r="G103" s="226"/>
      <c r="H103" s="150"/>
      <c r="J103" s="227"/>
    </row>
    <row r="104" spans="1:10" ht="18.75" x14ac:dyDescent="0.3">
      <c r="C104" s="193" t="s">
        <v>84</v>
      </c>
      <c r="D104" s="228">
        <f>STDEV(E91:E94,G91:G94)/D103</f>
        <v>1.6074740564863094E-2</v>
      </c>
      <c r="F104" s="170"/>
      <c r="G104" s="218"/>
      <c r="H104" s="150"/>
      <c r="J104" s="227"/>
    </row>
    <row r="105" spans="1:10" ht="19.5" customHeight="1" x14ac:dyDescent="0.3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2</v>
      </c>
      <c r="C108" s="271">
        <v>1</v>
      </c>
      <c r="D108" s="281">
        <v>0.48699999999999999</v>
      </c>
      <c r="E108" s="248">
        <f t="shared" ref="E108:E113" si="1">IF(ISBLANK(D108),"-",D108/$D$103*$D$100*$B$116)</f>
        <v>269.73314430572867</v>
      </c>
      <c r="F108" s="272">
        <f t="shared" ref="F108:F113" si="2">IF(ISBLANK(D108), "-", (E108/$B$56)*100)</f>
        <v>89.911048101909557</v>
      </c>
    </row>
    <row r="109" spans="1:10" ht="26.25" customHeight="1" x14ac:dyDescent="0.4">
      <c r="A109" s="124" t="s">
        <v>95</v>
      </c>
      <c r="B109" s="125">
        <v>50</v>
      </c>
      <c r="C109" s="269">
        <v>2</v>
      </c>
      <c r="D109" s="282">
        <v>0.47799999999999998</v>
      </c>
      <c r="E109" s="249">
        <f t="shared" si="1"/>
        <v>264.74834287092051</v>
      </c>
      <c r="F109" s="273">
        <f t="shared" si="2"/>
        <v>88.249447623640165</v>
      </c>
    </row>
    <row r="110" spans="1:10" ht="26.25" customHeight="1" x14ac:dyDescent="0.4">
      <c r="A110" s="124" t="s">
        <v>96</v>
      </c>
      <c r="B110" s="125">
        <v>1</v>
      </c>
      <c r="C110" s="269">
        <v>3</v>
      </c>
      <c r="D110" s="282">
        <v>0.48099999999999998</v>
      </c>
      <c r="E110" s="249">
        <f t="shared" si="1"/>
        <v>266.40994334918992</v>
      </c>
      <c r="F110" s="273">
        <f t="shared" si="2"/>
        <v>88.803314449729982</v>
      </c>
    </row>
    <row r="111" spans="1:10" ht="26.25" customHeight="1" x14ac:dyDescent="0.4">
      <c r="A111" s="124" t="s">
        <v>97</v>
      </c>
      <c r="B111" s="125">
        <v>1</v>
      </c>
      <c r="C111" s="269">
        <v>4</v>
      </c>
      <c r="D111" s="282">
        <v>0.48299999999999998</v>
      </c>
      <c r="E111" s="249">
        <f t="shared" si="1"/>
        <v>267.51767700136952</v>
      </c>
      <c r="F111" s="273">
        <f t="shared" si="2"/>
        <v>89.172559000456502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2">
        <v>0.48099999999999998</v>
      </c>
      <c r="E112" s="249">
        <f t="shared" si="1"/>
        <v>266.40994334918992</v>
      </c>
      <c r="F112" s="273">
        <f t="shared" si="2"/>
        <v>88.803314449729982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3">
        <v>0.48199999999999998</v>
      </c>
      <c r="E113" s="250">
        <f t="shared" si="1"/>
        <v>266.96381017527972</v>
      </c>
      <c r="F113" s="274">
        <f t="shared" si="2"/>
        <v>88.987936725093249</v>
      </c>
    </row>
    <row r="114" spans="1:10" ht="27" customHeight="1" x14ac:dyDescent="0.4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266.96381017527966</v>
      </c>
      <c r="F115" s="276">
        <f>AVERAGE(F108:F113)</f>
        <v>88.987936725093235</v>
      </c>
    </row>
    <row r="116" spans="1:10" ht="27" customHeight="1" x14ac:dyDescent="0.4">
      <c r="A116" s="124" t="s">
        <v>103</v>
      </c>
      <c r="B116" s="156">
        <f>(B115/B114)*(B113/B112)*(B111/B110)*(B109/B108)*B107</f>
        <v>22500</v>
      </c>
      <c r="C116" s="232"/>
      <c r="D116" s="256" t="s">
        <v>84</v>
      </c>
      <c r="E116" s="254">
        <f>STDEV(E108:E113)/E115</f>
        <v>6.1545215660545336E-3</v>
      </c>
      <c r="F116" s="233">
        <f>STDEV(F108:F113)/F115</f>
        <v>6.1545215660545301E-3</v>
      </c>
      <c r="I116" s="98"/>
    </row>
    <row r="117" spans="1:10" ht="27" customHeight="1" x14ac:dyDescent="0.4">
      <c r="A117" s="296" t="s">
        <v>78</v>
      </c>
      <c r="B117" s="297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298"/>
      <c r="B118" s="299"/>
      <c r="C118" s="98"/>
      <c r="D118" s="258"/>
      <c r="E118" s="324" t="s">
        <v>123</v>
      </c>
      <c r="F118" s="325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264.74834287092051</v>
      </c>
      <c r="F119" s="277">
        <f>MIN(F108:F113)</f>
        <v>88.249447623640165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7" t="s">
        <v>125</v>
      </c>
      <c r="E120" s="262">
        <f>MAX(E108:E113)</f>
        <v>269.73314430572867</v>
      </c>
      <c r="F120" s="278">
        <f>MAX(F108:F113)</f>
        <v>89.911048101909557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0" t="str">
        <f>B26</f>
        <v>ISONIAZID</v>
      </c>
      <c r="D124" s="300"/>
      <c r="E124" s="198" t="s">
        <v>127</v>
      </c>
      <c r="F124" s="198"/>
      <c r="G124" s="279">
        <f>F115</f>
        <v>88.987936725093235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79">
        <f>MIN(F108:F113)</f>
        <v>88.249447623640165</v>
      </c>
      <c r="E125" s="209" t="s">
        <v>130</v>
      </c>
      <c r="F125" s="279">
        <f>MAX(F108:F113)</f>
        <v>89.911048101909557</v>
      </c>
      <c r="G125" s="199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01" t="s">
        <v>26</v>
      </c>
      <c r="C127" s="301"/>
      <c r="E127" s="204" t="s">
        <v>27</v>
      </c>
      <c r="F127" s="237"/>
      <c r="G127" s="301" t="s">
        <v>28</v>
      </c>
      <c r="H127" s="301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2016-11-29T12:57:59Z</cp:lastPrinted>
  <dcterms:created xsi:type="dcterms:W3CDTF">2005-07-05T10:19:27Z</dcterms:created>
  <dcterms:modified xsi:type="dcterms:W3CDTF">2016-11-29T13:01:00Z</dcterms:modified>
</cp:coreProperties>
</file>