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isoniazid!$A$1:$H$129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D33" i="2"/>
  <c r="D37" i="2"/>
  <c r="D25" i="2"/>
  <c r="D41" i="2"/>
  <c r="D26" i="2"/>
  <c r="D30" i="2"/>
  <c r="D34" i="2"/>
  <c r="D38" i="2"/>
  <c r="D42" i="2"/>
  <c r="B49" i="2"/>
  <c r="D27" i="2"/>
  <c r="D31" i="2"/>
  <c r="D35" i="2"/>
  <c r="D39" i="2"/>
  <c r="D43" i="2"/>
  <c r="C49" i="2"/>
  <c r="D24" i="2"/>
  <c r="D28" i="2"/>
  <c r="D32" i="2"/>
  <c r="D36" i="2"/>
  <c r="D40" i="2"/>
  <c r="I92" i="3"/>
  <c r="D101" i="3"/>
  <c r="D102" i="3" s="1"/>
  <c r="F97" i="3"/>
  <c r="F98" i="3" s="1"/>
  <c r="F99" i="3" s="1"/>
  <c r="I39" i="3"/>
  <c r="F45" i="3"/>
  <c r="F46" i="3" s="1"/>
  <c r="D45" i="3"/>
  <c r="D46" i="3" s="1"/>
  <c r="D98" i="3"/>
  <c r="D99" i="3" s="1"/>
  <c r="G41" i="3"/>
  <c r="E38" i="3"/>
  <c r="D49" i="3"/>
  <c r="G38" i="3"/>
  <c r="G39" i="3"/>
  <c r="G40" i="3"/>
  <c r="D49" i="2"/>
  <c r="B57" i="3"/>
  <c r="B69" i="3" s="1"/>
  <c r="C50" i="2"/>
  <c r="E91" i="3" l="1"/>
  <c r="E94" i="3"/>
  <c r="E93" i="3"/>
  <c r="E92" i="3"/>
  <c r="E41" i="3"/>
  <c r="E40" i="3"/>
  <c r="G94" i="3"/>
  <c r="G93" i="3"/>
  <c r="E39" i="3"/>
  <c r="G42" i="3"/>
  <c r="G92" i="3"/>
  <c r="G91" i="3"/>
  <c r="E95" i="3" l="1"/>
  <c r="D105" i="3"/>
  <c r="G95" i="3"/>
  <c r="D52" i="3"/>
  <c r="D50" i="3"/>
  <c r="G66" i="3" s="1"/>
  <c r="H66" i="3" s="1"/>
  <c r="E42" i="3"/>
  <c r="D103" i="3"/>
  <c r="E110" i="3" s="1"/>
  <c r="F110" i="3" s="1"/>
  <c r="G71" i="3"/>
  <c r="H71" i="3" s="1"/>
  <c r="G68" i="3" l="1"/>
  <c r="H68" i="3" s="1"/>
  <c r="D104" i="3"/>
  <c r="E111" i="3"/>
  <c r="F111" i="3" s="1"/>
  <c r="E108" i="3"/>
  <c r="E113" i="3"/>
  <c r="F113" i="3" s="1"/>
  <c r="E112" i="3"/>
  <c r="F112" i="3" s="1"/>
  <c r="G65" i="3"/>
  <c r="H65" i="3" s="1"/>
  <c r="G69" i="3"/>
  <c r="H69" i="3" s="1"/>
  <c r="G70" i="3"/>
  <c r="H70" i="3" s="1"/>
  <c r="G60" i="3"/>
  <c r="H60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09" i="3"/>
  <c r="F109" i="3" s="1"/>
  <c r="E119" i="3" l="1"/>
  <c r="F108" i="3"/>
  <c r="F117" i="3" s="1"/>
  <c r="E115" i="3"/>
  <c r="E116" i="3" s="1"/>
  <c r="E120" i="3"/>
  <c r="G72" i="3"/>
  <c r="G73" i="3" s="1"/>
  <c r="G74" i="3"/>
  <c r="E117" i="3"/>
  <c r="H74" i="3"/>
  <c r="H72" i="3"/>
  <c r="F125" i="3"/>
  <c r="F119" i="3" l="1"/>
  <c r="F115" i="3"/>
  <c r="G124" i="3" s="1"/>
  <c r="D125" i="3"/>
  <c r="F120" i="3"/>
  <c r="G76" i="3"/>
  <c r="H73" i="3"/>
  <c r="F116" i="3" l="1"/>
</calcChain>
</file>

<file path=xl/sharedStrings.xml><?xml version="1.0" encoding="utf-8"?>
<sst xmlns="http://schemas.openxmlformats.org/spreadsheetml/2006/main" count="236" uniqueCount="136">
  <si>
    <t>HPLC System Suitability Report</t>
  </si>
  <si>
    <t>Analysis Data</t>
  </si>
  <si>
    <t>Assay</t>
  </si>
  <si>
    <t>Sample(s)</t>
  </si>
  <si>
    <t>Reference Substance:</t>
  </si>
  <si>
    <t>ISONIAZID TABLETS B.P 300 MG</t>
  </si>
  <si>
    <t>% age Purity:</t>
  </si>
  <si>
    <t>NDQB201610170</t>
  </si>
  <si>
    <t>Weight (mg):</t>
  </si>
  <si>
    <t>Isoniazid</t>
  </si>
  <si>
    <t>Standard Conc (mg/mL):</t>
  </si>
  <si>
    <t xml:space="preserve">Each tablet conatins Isoniazid B.P 300 mg </t>
  </si>
  <si>
    <t>2016-10-19 11:47:38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</si>
  <si>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</si>
  <si>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</si>
  <si>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</si>
  <si>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</si>
  <si>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</si>
  <si>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</si>
  <si>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</si>
  <si>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</si>
  <si>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</si>
  <si>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</si>
  <si>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</si>
  <si>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</si>
  <si>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</si>
  <si>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</si>
  <si>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</si>
  <si>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</si>
  <si>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</si>
  <si>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</si>
  <si>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</si>
  <si>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</si>
  <si>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</si>
  <si>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</si>
  <si>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</si>
  <si>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</si>
  <si>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</si>
  <si>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</si>
  <si>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</si>
  <si>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</si>
  <si>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</si>
  <si>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</si>
  <si>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</si>
  <si>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</si>
  <si>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</si>
  <si>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</si>
  <si>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</si>
  <si>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</si>
  <si>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</si>
  <si>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</si>
  <si>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</si>
  <si>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</si>
  <si>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</si>
  <si>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</si>
  <si>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</si>
  <si>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</si>
  <si>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</si>
  <si>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</si>
  <si>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</si>
  <si>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</si>
  <si>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</si>
  <si>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</si>
  <si>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</si>
  <si>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</si>
  <si>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</si>
  <si>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</si>
  <si>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</si>
  <si>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</si>
  <si>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</si>
  <si>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</si>
  <si>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</si>
  <si>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</si>
  <si>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</si>
  <si>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</si>
  <si>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</si>
  <si>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</si>
  <si>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</si>
  <si>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</si>
  <si>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</si>
  <si>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</si>
  <si>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</si>
  <si>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</si>
  <si>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</si>
  <si>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</si>
  <si>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</si>
  <si>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</si>
  <si>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</si>
  <si>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</si>
  <si>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</si>
  <si>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</si>
  <si>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</si>
  <si>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</si>
  <si>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</si>
  <si>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</si>
  <si>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</si>
  <si>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</si>
  <si>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</si>
  <si>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</si>
  <si>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</si>
  <si>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</si>
  <si>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</si>
  <si>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</si>
  <si>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</si>
  <si>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</si>
  <si>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</si>
  <si>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</si>
  <si>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</si>
  <si>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</si>
  <si>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</si>
  <si>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</si>
  <si>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</si>
  <si>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</si>
  <si>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</si>
  <si>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</si>
  <si>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</si>
  <si>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</si>
  <si>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</si>
  <si>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</si>
  <si>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</si>
  <si>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</si>
  <si>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</si>
  <si>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</si>
  <si>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</si>
  <si>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</si>
  <si>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</si>
  <si>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</si>
  <si>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</si>
  <si>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</si>
  <si>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</si>
  <si>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</si>
  <si>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</si>
  <si>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NDQB201610175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</si>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</sst>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2" fontId="6" fillId="2" borderId="0" xfId="0" applyNumberFormat="1" applyFont="1" applyFill="1"/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36" sqref="C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16.739999999999998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0.33479999999999999</v>
      </c>
      <c r="C21" s="10"/>
      <c r="D21" s="10"/>
      <c r="E21" s="10"/>
    </row>
    <row r="22" spans="1:6" ht="15.75" customHeight="1" x14ac:dyDescent="0.25">
      <c r="A22" s="10"/>
      <c r="B22" s="282">
        <v>42675.491412037038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99129164</v>
      </c>
      <c r="C24" s="18">
        <v>10766.5</v>
      </c>
      <c r="D24" s="19">
        <v>1.0900000000000001</v>
      </c>
      <c r="E24" s="20">
        <v>4.67</v>
      </c>
    </row>
    <row r="25" spans="1:6" ht="16.5" customHeight="1" x14ac:dyDescent="0.3">
      <c r="A25" s="17">
        <v>2</v>
      </c>
      <c r="B25" s="18">
        <v>99064982</v>
      </c>
      <c r="C25" s="18">
        <v>10773.21</v>
      </c>
      <c r="D25" s="19">
        <v>1.1000000000000001</v>
      </c>
      <c r="E25" s="19">
        <v>4.67</v>
      </c>
    </row>
    <row r="26" spans="1:6" ht="16.5" customHeight="1" x14ac:dyDescent="0.3">
      <c r="A26" s="17">
        <v>3</v>
      </c>
      <c r="B26" s="18">
        <v>98819933</v>
      </c>
      <c r="C26" s="18">
        <v>10767.61</v>
      </c>
      <c r="D26" s="19">
        <v>1.0900000000000001</v>
      </c>
      <c r="E26" s="19">
        <v>4.67</v>
      </c>
    </row>
    <row r="27" spans="1:6" ht="16.5" customHeight="1" x14ac:dyDescent="0.3">
      <c r="A27" s="17">
        <v>4</v>
      </c>
      <c r="B27" s="18">
        <v>99189675</v>
      </c>
      <c r="C27" s="18">
        <v>10791.57</v>
      </c>
      <c r="D27" s="19">
        <v>1.1000000000000001</v>
      </c>
      <c r="E27" s="19">
        <v>4.67</v>
      </c>
    </row>
    <row r="28" spans="1:6" ht="16.5" customHeight="1" x14ac:dyDescent="0.3">
      <c r="A28" s="17">
        <v>5</v>
      </c>
      <c r="B28" s="18">
        <v>99393147</v>
      </c>
      <c r="C28" s="18">
        <v>10784.49</v>
      </c>
      <c r="D28" s="19">
        <v>1.1000000000000001</v>
      </c>
      <c r="E28" s="19">
        <v>4.67</v>
      </c>
    </row>
    <row r="29" spans="1:6" ht="16.5" customHeight="1" x14ac:dyDescent="0.3">
      <c r="A29" s="17">
        <v>6</v>
      </c>
      <c r="B29" s="21">
        <v>98892957</v>
      </c>
      <c r="C29" s="21">
        <v>10789.61</v>
      </c>
      <c r="D29" s="22">
        <v>1.1000000000000001</v>
      </c>
      <c r="E29" s="22">
        <v>4.67</v>
      </c>
    </row>
    <row r="30" spans="1:6" ht="16.5" customHeight="1" x14ac:dyDescent="0.3">
      <c r="A30" s="23" t="s">
        <v>18</v>
      </c>
      <c r="B30" s="24">
        <f>AVERAGE(B24:B29)</f>
        <v>99081643</v>
      </c>
      <c r="C30" s="25">
        <f>AVERAGE(C24:C29)</f>
        <v>10778.831666666667</v>
      </c>
      <c r="D30" s="26">
        <f>AVERAGE(D24:D29)</f>
        <v>1.0966666666666667</v>
      </c>
      <c r="E30" s="26">
        <f>AVERAGE(E24:E29)</f>
        <v>4.6700000000000008</v>
      </c>
    </row>
    <row r="31" spans="1:6" ht="16.5" customHeight="1" x14ac:dyDescent="0.3">
      <c r="A31" s="27" t="s">
        <v>19</v>
      </c>
      <c r="B31" s="28">
        <f>(STDEV(B24:B29)/B30)</f>
        <v>2.0944989128748172E-3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133</v>
      </c>
      <c r="C34" s="38"/>
      <c r="D34" s="38"/>
      <c r="E34" s="39"/>
    </row>
    <row r="35" spans="1:6" ht="16.5" customHeight="1" x14ac:dyDescent="0.3">
      <c r="A35" s="11"/>
      <c r="B35" s="37" t="s">
        <v>134</v>
      </c>
      <c r="C35" s="38"/>
      <c r="D35" s="38"/>
      <c r="E35" s="39"/>
      <c r="F35" s="2"/>
    </row>
    <row r="36" spans="1:6" ht="16.5" customHeight="1" x14ac:dyDescent="0.3">
      <c r="A36" s="11"/>
      <c r="B36" s="40" t="s">
        <v>135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401.88</v>
      </c>
      <c r="D24" s="87">
        <f t="shared" ref="D24:D43" si="0">(C24-$C$46)/$C$46</f>
        <v>4.7339097694547626E-3</v>
      </c>
      <c r="E24" s="53"/>
    </row>
    <row r="25" spans="1:5" ht="15.75" customHeight="1" x14ac:dyDescent="0.3">
      <c r="C25" s="95">
        <v>403.05</v>
      </c>
      <c r="D25" s="88">
        <f t="shared" si="0"/>
        <v>7.6590084915366726E-3</v>
      </c>
      <c r="E25" s="53"/>
    </row>
    <row r="26" spans="1:5" ht="15.75" customHeight="1" x14ac:dyDescent="0.3">
      <c r="C26" s="95">
        <v>395.83</v>
      </c>
      <c r="D26" s="88">
        <f t="shared" si="0"/>
        <v>-1.0391600716524169E-2</v>
      </c>
      <c r="E26" s="53"/>
    </row>
    <row r="27" spans="1:5" ht="15.75" customHeight="1" x14ac:dyDescent="0.3">
      <c r="C27" s="95">
        <v>396.77</v>
      </c>
      <c r="D27" s="88">
        <f t="shared" si="0"/>
        <v>-8.0415214013472864E-3</v>
      </c>
      <c r="E27" s="53"/>
    </row>
    <row r="28" spans="1:5" ht="15.75" customHeight="1" x14ac:dyDescent="0.3">
      <c r="C28" s="95">
        <v>397.31</v>
      </c>
      <c r="D28" s="88">
        <f t="shared" si="0"/>
        <v>-6.6914758373094489E-3</v>
      </c>
      <c r="E28" s="53"/>
    </row>
    <row r="29" spans="1:5" ht="15.75" customHeight="1" x14ac:dyDescent="0.3">
      <c r="C29" s="95">
        <v>398.49</v>
      </c>
      <c r="D29" s="88">
        <f t="shared" si="0"/>
        <v>-3.7413762714490844E-3</v>
      </c>
      <c r="E29" s="53"/>
    </row>
    <row r="30" spans="1:5" ht="15.75" customHeight="1" x14ac:dyDescent="0.3">
      <c r="C30" s="95">
        <v>399.31</v>
      </c>
      <c r="D30" s="88">
        <f t="shared" si="0"/>
        <v>-1.6913070816139443E-3</v>
      </c>
      <c r="E30" s="53"/>
    </row>
    <row r="31" spans="1:5" ht="15.75" customHeight="1" x14ac:dyDescent="0.3">
      <c r="C31" s="95">
        <v>404.15</v>
      </c>
      <c r="D31" s="88">
        <f t="shared" si="0"/>
        <v>1.0409101307169115E-2</v>
      </c>
      <c r="E31" s="53"/>
    </row>
    <row r="32" spans="1:5" ht="15.75" customHeight="1" x14ac:dyDescent="0.3">
      <c r="C32" s="95">
        <v>404.81</v>
      </c>
      <c r="D32" s="88">
        <f t="shared" si="0"/>
        <v>1.2059156996548694E-2</v>
      </c>
      <c r="E32" s="53"/>
    </row>
    <row r="33" spans="1:7" ht="15.75" customHeight="1" x14ac:dyDescent="0.3">
      <c r="C33" s="95">
        <v>397.87</v>
      </c>
      <c r="D33" s="88">
        <f t="shared" si="0"/>
        <v>-5.2914285857147024E-3</v>
      </c>
      <c r="E33" s="53"/>
    </row>
    <row r="34" spans="1:7" ht="15.75" customHeight="1" x14ac:dyDescent="0.3">
      <c r="C34" s="95">
        <v>397.79</v>
      </c>
      <c r="D34" s="88">
        <f t="shared" si="0"/>
        <v>-5.4914353359424824E-3</v>
      </c>
      <c r="E34" s="53"/>
    </row>
    <row r="35" spans="1:7" ht="15.75" customHeight="1" x14ac:dyDescent="0.3">
      <c r="C35" s="95">
        <v>400.23</v>
      </c>
      <c r="D35" s="88">
        <f t="shared" si="0"/>
        <v>6.0877054600602773E-4</v>
      </c>
      <c r="E35" s="53"/>
    </row>
    <row r="36" spans="1:7" ht="15.75" customHeight="1" x14ac:dyDescent="0.3">
      <c r="C36" s="95">
        <v>398.71</v>
      </c>
      <c r="D36" s="88">
        <f t="shared" si="0"/>
        <v>-3.1913577083226528E-3</v>
      </c>
      <c r="E36" s="53"/>
    </row>
    <row r="37" spans="1:7" ht="15.75" customHeight="1" x14ac:dyDescent="0.3">
      <c r="C37" s="95">
        <v>396.03</v>
      </c>
      <c r="D37" s="88">
        <f t="shared" si="0"/>
        <v>-9.8915838409546469E-3</v>
      </c>
      <c r="E37" s="53"/>
    </row>
    <row r="38" spans="1:7" ht="15.75" customHeight="1" x14ac:dyDescent="0.3">
      <c r="C38" s="95">
        <v>397.24</v>
      </c>
      <c r="D38" s="88">
        <f t="shared" si="0"/>
        <v>-6.8664817437587749E-3</v>
      </c>
      <c r="E38" s="53"/>
    </row>
    <row r="39" spans="1:7" ht="15.75" customHeight="1" x14ac:dyDescent="0.3">
      <c r="C39" s="95">
        <v>400.49</v>
      </c>
      <c r="D39" s="88">
        <f t="shared" si="0"/>
        <v>1.2587924842464206E-3</v>
      </c>
      <c r="E39" s="53"/>
    </row>
    <row r="40" spans="1:7" ht="15.75" customHeight="1" x14ac:dyDescent="0.3">
      <c r="C40" s="95">
        <v>403.08</v>
      </c>
      <c r="D40" s="88">
        <f t="shared" si="0"/>
        <v>7.7340110228720374E-3</v>
      </c>
      <c r="E40" s="53"/>
    </row>
    <row r="41" spans="1:7" ht="15.75" customHeight="1" x14ac:dyDescent="0.3">
      <c r="C41" s="95">
        <v>401.1</v>
      </c>
      <c r="D41" s="88">
        <f t="shared" si="0"/>
        <v>2.7838439547335837E-3</v>
      </c>
      <c r="E41" s="53"/>
    </row>
    <row r="42" spans="1:7" ht="15.75" customHeight="1" x14ac:dyDescent="0.3">
      <c r="C42" s="95">
        <v>404.93</v>
      </c>
      <c r="D42" s="88">
        <f t="shared" si="0"/>
        <v>1.2359167121890436E-2</v>
      </c>
      <c r="E42" s="53"/>
    </row>
    <row r="43" spans="1:7" ht="16.5" customHeight="1" x14ac:dyDescent="0.3">
      <c r="C43" s="96">
        <v>400.66</v>
      </c>
      <c r="D43" s="89">
        <f t="shared" si="0"/>
        <v>1.6838068284805783E-3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7999.73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399.98649999999998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399.98649999999998</v>
      </c>
      <c r="C49" s="93">
        <f>-IF(C46&lt;=80,10%,IF(C46&lt;250,7.5%,5%))</f>
        <v>-0.05</v>
      </c>
      <c r="D49" s="81">
        <f>IF(C46&lt;=80,C46*0.9,IF(C46&lt;250,C46*0.925,C46*0.95))</f>
        <v>379.98717499999998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419.98582499999998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4" zoomScale="55" zoomScaleNormal="40" zoomScaleSheetLayoutView="55" zoomScalePageLayoutView="44" workbookViewId="0">
      <selection activeCell="E119" sqref="D119:E1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132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42675.491412037038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42676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/>
      <c r="C27" s="304"/>
    </row>
    <row r="28" spans="1:14" ht="27" customHeight="1" x14ac:dyDescent="0.4">
      <c r="A28" s="109" t="s">
        <v>6</v>
      </c>
      <c r="B28" s="110">
        <v>100.3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97845765</v>
      </c>
      <c r="E38" s="133">
        <f>IF(ISBLANK(D38),"-",$D$48/$D$45*D38)</f>
        <v>93240722.277611628</v>
      </c>
      <c r="F38" s="132">
        <v>91724772</v>
      </c>
      <c r="G38" s="134">
        <f>IF(ISBLANK(F38),"-",$D$48/$F$45*F38)</f>
        <v>90601036.025051787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98046272</v>
      </c>
      <c r="E39" s="138">
        <f>IF(ISBLANK(D39),"-",$D$48/$D$45*D39)</f>
        <v>93431792.555428118</v>
      </c>
      <c r="F39" s="137">
        <v>91989964</v>
      </c>
      <c r="G39" s="139">
        <f>IF(ISBLANK(F39),"-",$D$48/$F$45*F39)</f>
        <v>90862979.112199023</v>
      </c>
      <c r="I39" s="315">
        <f>ABS((F43/D43*D42)-F42)/D42</f>
        <v>2.544673339123852E-2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98133835</v>
      </c>
      <c r="E40" s="138">
        <f>IF(ISBLANK(D40),"-",$D$48/$D$45*D40)</f>
        <v>93515234.463872433</v>
      </c>
      <c r="F40" s="137">
        <v>92466219</v>
      </c>
      <c r="G40" s="139">
        <f>IF(ISBLANK(F40),"-",$D$48/$F$45*F40)</f>
        <v>91333399.430192411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98008624</v>
      </c>
      <c r="E42" s="148">
        <f>AVERAGE(E38:E41)</f>
        <v>93395916.432304069</v>
      </c>
      <c r="F42" s="147">
        <f>AVERAGE(F38:F41)</f>
        <v>92060318.333333328</v>
      </c>
      <c r="G42" s="149">
        <f>AVERAGE(G38:G41)</f>
        <v>90932471.522481084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16.739999999999998</v>
      </c>
      <c r="E43" s="140"/>
      <c r="F43" s="152">
        <v>16.149999999999999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16.739999999999998</v>
      </c>
      <c r="E44" s="155"/>
      <c r="F44" s="154">
        <f>F43*$B$34</f>
        <v>16.149999999999999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16.790219999999998</v>
      </c>
      <c r="E45" s="158"/>
      <c r="F45" s="157">
        <f>F44*$B$30/100</f>
        <v>16.198449999999998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0.33580439999999995</v>
      </c>
      <c r="E46" s="160"/>
      <c r="F46" s="161">
        <f>F45/$B$45</f>
        <v>0.32396899999999995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92164193.977392554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1.4891181787390802E-2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tablet conatins Isoniazid B.P 300 mg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Isoniazid</v>
      </c>
      <c r="H56" s="179"/>
    </row>
    <row r="57" spans="1:12" ht="18.75" x14ac:dyDescent="0.3">
      <c r="A57" s="176" t="s">
        <v>88</v>
      </c>
      <c r="B57" s="247">
        <f>Uniformity!C46</f>
        <v>399.98649999999998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20" t="s">
        <v>94</v>
      </c>
      <c r="D60" s="323">
        <v>43.44</v>
      </c>
      <c r="E60" s="182">
        <v>1</v>
      </c>
      <c r="F60" s="183">
        <v>90528217</v>
      </c>
      <c r="G60" s="248">
        <f>IF(ISBLANK(F60),"-",(F60/$D$50*$D$47*$B$68)*($B$57/$D$60))</f>
        <v>289.41912945142167</v>
      </c>
      <c r="H60" s="266">
        <f t="shared" ref="H60:H71" si="0">IF(ISBLANK(F60),"-",(G60/$B$56)*100)</f>
        <v>96.473043150473899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1"/>
      <c r="D61" s="324"/>
      <c r="E61" s="184">
        <v>2</v>
      </c>
      <c r="F61" s="137">
        <v>90516075</v>
      </c>
      <c r="G61" s="249">
        <f>IF(ISBLANK(F61),"-",(F61/$D$50*$D$47*$B$68)*($B$57/$D$60))</f>
        <v>289.38031142112953</v>
      </c>
      <c r="H61" s="267">
        <f t="shared" si="0"/>
        <v>96.460103807043168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90309528</v>
      </c>
      <c r="G62" s="249">
        <f>IF(ISBLANK(F62),"-",(F62/$D$50*$D$47*$B$68)*($B$57/$D$60))</f>
        <v>288.71997970454663</v>
      </c>
      <c r="H62" s="267">
        <f t="shared" si="0"/>
        <v>96.239993234848882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42.95</v>
      </c>
      <c r="E64" s="182">
        <v>1</v>
      </c>
      <c r="F64" s="183">
        <v>90807297</v>
      </c>
      <c r="G64" s="248">
        <f>IF(ISBLANK(F64),"-",(F64/$D$50*$D$47*$B$68)*($B$57/$D$64))</f>
        <v>293.62339982559484</v>
      </c>
      <c r="H64" s="266">
        <f t="shared" si="0"/>
        <v>97.87446660853162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91101231</v>
      </c>
      <c r="G65" s="249">
        <f>IF(ISBLANK(F65),"-",(F65/$D$50*$D$47*$B$68)*($B$57/$D$64))</f>
        <v>294.573828956905</v>
      </c>
      <c r="H65" s="267">
        <f t="shared" si="0"/>
        <v>98.191276318968335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90962518</v>
      </c>
      <c r="G66" s="249">
        <f>IF(ISBLANK(F66),"-",(F66/$D$50*$D$47*$B$68)*($B$57/$D$64))</f>
        <v>294.12530351891064</v>
      </c>
      <c r="H66" s="267">
        <f t="shared" si="0"/>
        <v>98.04176783963689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20" t="s">
        <v>104</v>
      </c>
      <c r="D68" s="323">
        <v>43.02</v>
      </c>
      <c r="E68" s="182">
        <v>1</v>
      </c>
      <c r="F68" s="183">
        <v>90997288</v>
      </c>
      <c r="G68" s="248">
        <f>IF(ISBLANK(F68),"-",(F68/$D$50*$D$47*$B$68)*($B$57/$D$68))</f>
        <v>293.75896257724997</v>
      </c>
      <c r="H68" s="267">
        <f t="shared" si="0"/>
        <v>97.919654192416658</v>
      </c>
    </row>
    <row r="69" spans="1:8" ht="27" customHeight="1" x14ac:dyDescent="0.4">
      <c r="A69" s="172" t="s">
        <v>105</v>
      </c>
      <c r="B69" s="189">
        <f>(D47*B68)/B56*B57</f>
        <v>42.665226666666669</v>
      </c>
      <c r="C69" s="321"/>
      <c r="D69" s="324"/>
      <c r="E69" s="184">
        <v>2</v>
      </c>
      <c r="F69" s="137">
        <v>90576828</v>
      </c>
      <c r="G69" s="249">
        <f>IF(ISBLANK(F69),"-",(F69/$D$50*$D$47*$B$68)*($B$57/$D$68))</f>
        <v>292.40162659372891</v>
      </c>
      <c r="H69" s="267">
        <f t="shared" si="0"/>
        <v>97.467208864576307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90936393</v>
      </c>
      <c r="G70" s="249">
        <f>IF(ISBLANK(F70),"-",(F70/$D$50*$D$47*$B$68)*($B$57/$D$68))</f>
        <v>293.56238032277508</v>
      </c>
      <c r="H70" s="267">
        <f t="shared" si="0"/>
        <v>97.854126774258361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292.17388026358475</v>
      </c>
      <c r="H72" s="269">
        <f>AVERAGE(H60:H71)</f>
        <v>97.391293421194916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7.9794858102251055E-3</v>
      </c>
      <c r="H73" s="253">
        <f>STDEV(H60:H71)/H72</f>
        <v>7.9794858102251107E-3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ISONIAZID</v>
      </c>
      <c r="D76" s="328"/>
      <c r="E76" s="198" t="s">
        <v>108</v>
      </c>
      <c r="F76" s="198"/>
      <c r="G76" s="199">
        <f>H72</f>
        <v>97.391293421194916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ISONIAZID</v>
      </c>
      <c r="C79" s="314"/>
    </row>
    <row r="80" spans="1:8" ht="26.25" customHeight="1" x14ac:dyDescent="0.4">
      <c r="A80" s="109" t="s">
        <v>48</v>
      </c>
      <c r="B80" s="314">
        <f>B27</f>
        <v>0</v>
      </c>
      <c r="C80" s="314"/>
    </row>
    <row r="81" spans="1:12" ht="27" customHeight="1" x14ac:dyDescent="0.4">
      <c r="A81" s="109" t="s">
        <v>6</v>
      </c>
      <c r="B81" s="201">
        <f>B28</f>
        <v>100.3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0.54600000000000004</v>
      </c>
      <c r="E91" s="133">
        <f>IF(ISBLANK(D91),"-",$D$101/$D$98*D91)</f>
        <v>0.53337928601028195</v>
      </c>
      <c r="F91" s="132">
        <v>0.46800000000000003</v>
      </c>
      <c r="G91" s="134">
        <f>IF(ISBLANK(F91),"-",$D$101/$F$98*F91)</f>
        <v>0.5495879851611245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0.54600000000000004</v>
      </c>
      <c r="E92" s="138">
        <f>IF(ISBLANK(D92),"-",$D$101/$D$98*D92)</f>
        <v>0.53337928601028195</v>
      </c>
      <c r="F92" s="137">
        <v>0.46800000000000003</v>
      </c>
      <c r="G92" s="139">
        <f>IF(ISBLANK(F92),"-",$D$101/$F$98*F92)</f>
        <v>0.5495879851611245</v>
      </c>
      <c r="I92" s="315">
        <f>ABS((F96/D96*D95)-F95)/D95</f>
        <v>2.4756280535549624E-2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0.54700000000000004</v>
      </c>
      <c r="E93" s="138">
        <f>IF(ISBLANK(D93),"-",$D$101/$D$98*D93)</f>
        <v>0.53435617114949485</v>
      </c>
      <c r="F93" s="137">
        <v>0.46800000000000003</v>
      </c>
      <c r="G93" s="139">
        <f>IF(ISBLANK(F93),"-",$D$101/$F$98*F93)</f>
        <v>0.5495879851611245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0.54633333333333345</v>
      </c>
      <c r="E95" s="148">
        <f>AVERAGE(E91:E94)</f>
        <v>0.53370491439001955</v>
      </c>
      <c r="F95" s="211">
        <f>AVERAGE(F91:F94)</f>
        <v>0.46800000000000003</v>
      </c>
      <c r="G95" s="212">
        <f>AVERAGE(G91:G94)</f>
        <v>0.5495879851611245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17.010000000000002</v>
      </c>
      <c r="E96" s="140"/>
      <c r="F96" s="152">
        <v>14.15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17.010000000000002</v>
      </c>
      <c r="E97" s="155"/>
      <c r="F97" s="154">
        <f>F96*$B$87</f>
        <v>14.15</v>
      </c>
    </row>
    <row r="98" spans="1:10" ht="19.5" customHeight="1" x14ac:dyDescent="0.3">
      <c r="A98" s="124" t="s">
        <v>76</v>
      </c>
      <c r="B98" s="217">
        <f>(B97/B96)*(B95/B94)*(B93/B92)*(B91/B90)*B89</f>
        <v>1250</v>
      </c>
      <c r="C98" s="215" t="s">
        <v>115</v>
      </c>
      <c r="D98" s="218">
        <f>D97*$B$83/100</f>
        <v>17.061030000000002</v>
      </c>
      <c r="E98" s="158"/>
      <c r="F98" s="157">
        <f>F97*$B$83/100</f>
        <v>14.192449999999999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1.3648824000000002E-2</v>
      </c>
      <c r="E99" s="158"/>
      <c r="F99" s="161">
        <f>F98/$B$98</f>
        <v>1.135396E-2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1.3333333333333334E-2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16.666666666666668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16.666666666666668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0.54164644977557208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1.6074740564863094E-2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</v>
      </c>
      <c r="E108" s="250">
        <f t="shared" ref="E108:E113" si="1">IF(ISBLANK(D108),"-",D108/$D$103*$D$100*$B$116)</f>
        <v>276.93341304489593</v>
      </c>
      <c r="F108" s="274">
        <f t="shared" ref="F108:F113" si="2">IF(ISBLANK(D108), "-", (E108/$B$56)*100)</f>
        <v>92.311137681631976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84">
        <v>0.47799999999999998</v>
      </c>
      <c r="E109" s="251">
        <f t="shared" si="1"/>
        <v>264.74834287092051</v>
      </c>
      <c r="F109" s="275">
        <f t="shared" si="2"/>
        <v>88.249447623640165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0.48</v>
      </c>
      <c r="E110" s="251">
        <f t="shared" si="1"/>
        <v>265.85607652310017</v>
      </c>
      <c r="F110" s="275">
        <f t="shared" si="2"/>
        <v>88.618692174366714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0.48699999999999999</v>
      </c>
      <c r="E111" s="251">
        <f t="shared" si="1"/>
        <v>269.73314430572867</v>
      </c>
      <c r="F111" s="275">
        <f t="shared" si="2"/>
        <v>89.911048101909557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0.49199999999999999</v>
      </c>
      <c r="E112" s="251">
        <f t="shared" si="1"/>
        <v>272.50247843617763</v>
      </c>
      <c r="F112" s="275">
        <f t="shared" si="2"/>
        <v>90.83415947872588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0.49399999999999999</v>
      </c>
      <c r="E113" s="252">
        <f t="shared" si="1"/>
        <v>273.61021208835723</v>
      </c>
      <c r="F113" s="276">
        <f t="shared" si="2"/>
        <v>91.2034040294524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270.56394454486338</v>
      </c>
      <c r="F115" s="278">
        <f>AVERAGE(F108:F113)</f>
        <v>90.187981514954444</v>
      </c>
    </row>
    <row r="116" spans="1:10" ht="27" customHeight="1" x14ac:dyDescent="0.4">
      <c r="A116" s="124" t="s">
        <v>103</v>
      </c>
      <c r="B116" s="156">
        <f>(B115/B114)*(B113/B112)*(B111/B110)*(B109/B108)*B107</f>
        <v>22500</v>
      </c>
      <c r="C116" s="234"/>
      <c r="D116" s="258" t="s">
        <v>84</v>
      </c>
      <c r="E116" s="256">
        <f>STDEV(E108:E113)/E115</f>
        <v>1.7358007718075771E-2</v>
      </c>
      <c r="F116" s="235">
        <f>STDEV(F108:F113)/F115</f>
        <v>1.7358007718075798E-2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264.74834287092051</v>
      </c>
      <c r="F119" s="279">
        <f>MIN(F108:F113)</f>
        <v>88.249447623640165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276.93341304489593</v>
      </c>
      <c r="F120" s="280">
        <f>MAX(F108:F113)</f>
        <v>92.311137681631976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ISONIAZID</v>
      </c>
      <c r="D124" s="328"/>
      <c r="E124" s="198" t="s">
        <v>127</v>
      </c>
      <c r="F124" s="198"/>
      <c r="G124" s="281">
        <f>F115</f>
        <v>90.187981514954444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88.249447623640165</v>
      </c>
      <c r="E125" s="209" t="s">
        <v>130</v>
      </c>
      <c r="F125" s="281">
        <f>MAX(F108:F113)</f>
        <v>92.311137681631976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2016-11-29T13:29:10Z</cp:lastPrinted>
  <dcterms:created xsi:type="dcterms:W3CDTF">2005-07-05T10:19:27Z</dcterms:created>
  <dcterms:modified xsi:type="dcterms:W3CDTF">2016-11-29T13:29:54Z</dcterms:modified>
</cp:coreProperties>
</file>