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6"/>
  </bookViews>
  <sheets>
    <sheet name="Uniformity" sheetId="14" r:id="rId1"/>
    <sheet name="SST Lam" sheetId="6" r:id="rId2"/>
    <sheet name="SST Zido" sheetId="7" r:id="rId3"/>
    <sheet name="SST Nev" sheetId="8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Lamivudine!$A$1:$H$130</definedName>
    <definedName name="_xlnm.Print_Area" localSheetId="6">Nevirapine!$A$1:$H$131</definedName>
    <definedName name="_xlnm.Print_Area" localSheetId="3">'SST Nev'!$A$1:$G$48</definedName>
    <definedName name="_xlnm.Print_Area" localSheetId="2">'SST Zido'!$A$1:$G$48</definedName>
    <definedName name="_xlnm.Print_Area" localSheetId="0">Uniformity!$A$1:$F$54</definedName>
    <definedName name="_xlnm.Print_Area" localSheetId="5">Zidovudine!$A$1:$H$130</definedName>
  </definedNames>
  <calcPr calcId="124519"/>
</workbook>
</file>

<file path=xl/calcChain.xml><?xml version="1.0" encoding="utf-8"?>
<calcChain xmlns="http://schemas.openxmlformats.org/spreadsheetml/2006/main">
  <c r="B57" i="9"/>
  <c r="D50" i="14"/>
  <c r="D49"/>
  <c r="C49"/>
  <c r="B49"/>
  <c r="C46"/>
  <c r="C50" s="1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57" i="10"/>
  <c r="B21" i="11"/>
  <c r="B55" s="1"/>
  <c r="B19"/>
  <c r="B18"/>
  <c r="B21" i="10"/>
  <c r="B19"/>
  <c r="B18"/>
  <c r="C124" i="11"/>
  <c r="B116"/>
  <c r="D100" s="1"/>
  <c r="D101" s="1"/>
  <c r="B98"/>
  <c r="F95"/>
  <c r="D95"/>
  <c r="B87"/>
  <c r="D97" s="1"/>
  <c r="B83"/>
  <c r="B79"/>
  <c r="C76"/>
  <c r="H71"/>
  <c r="G71"/>
  <c r="D68"/>
  <c r="B68"/>
  <c r="H67"/>
  <c r="G67"/>
  <c r="D64"/>
  <c r="H63"/>
  <c r="G63"/>
  <c r="D60"/>
  <c r="C56"/>
  <c r="D48"/>
  <c r="B45"/>
  <c r="F42"/>
  <c r="D42"/>
  <c r="G41"/>
  <c r="E41"/>
  <c r="I39"/>
  <c r="B34"/>
  <c r="B30"/>
  <c r="B23"/>
  <c r="B22"/>
  <c r="C124" i="10"/>
  <c r="B116"/>
  <c r="D100" s="1"/>
  <c r="B98"/>
  <c r="F95"/>
  <c r="D95"/>
  <c r="I92" s="1"/>
  <c r="B87"/>
  <c r="F97" s="1"/>
  <c r="F98" s="1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F42"/>
  <c r="I39" s="1"/>
  <c r="D42"/>
  <c r="G41"/>
  <c r="E41"/>
  <c r="B34"/>
  <c r="F44" s="1"/>
  <c r="F45" s="1"/>
  <c r="F46" s="1"/>
  <c r="B30"/>
  <c r="B23"/>
  <c r="B22"/>
  <c r="C124" i="9"/>
  <c r="B116"/>
  <c r="D100" s="1"/>
  <c r="B98"/>
  <c r="F95"/>
  <c r="D95"/>
  <c r="B87"/>
  <c r="D97" s="1"/>
  <c r="B83"/>
  <c r="B79"/>
  <c r="C76"/>
  <c r="H71"/>
  <c r="G71"/>
  <c r="B68"/>
  <c r="B69" s="1"/>
  <c r="H67"/>
  <c r="G67"/>
  <c r="H63"/>
  <c r="G63"/>
  <c r="C56"/>
  <c r="B55"/>
  <c r="B45"/>
  <c r="D48" s="1"/>
  <c r="F42"/>
  <c r="I39" s="1"/>
  <c r="D42"/>
  <c r="G41"/>
  <c r="E41"/>
  <c r="B34"/>
  <c r="F44" s="1"/>
  <c r="F45" s="1"/>
  <c r="F46" s="1"/>
  <c r="B30"/>
  <c r="B40" i="8"/>
  <c r="E38"/>
  <c r="D38"/>
  <c r="C38"/>
  <c r="B38"/>
  <c r="B39" s="1"/>
  <c r="B18"/>
  <c r="F16"/>
  <c r="E16"/>
  <c r="D16"/>
  <c r="C16"/>
  <c r="B16"/>
  <c r="B17" s="1"/>
  <c r="B7"/>
  <c r="B40" i="7"/>
  <c r="E38"/>
  <c r="D38"/>
  <c r="C38"/>
  <c r="B38"/>
  <c r="B39" s="1"/>
  <c r="B18"/>
  <c r="B17"/>
  <c r="F16"/>
  <c r="E16"/>
  <c r="D16"/>
  <c r="C16"/>
  <c r="B16"/>
  <c r="B7"/>
  <c r="B39" i="6"/>
  <c r="E37"/>
  <c r="D37"/>
  <c r="C37"/>
  <c r="B37"/>
  <c r="B38" s="1"/>
  <c r="B18"/>
  <c r="E16"/>
  <c r="D16"/>
  <c r="C16"/>
  <c r="B16"/>
  <c r="B17" s="1"/>
  <c r="B7"/>
  <c r="D102" i="11" l="1"/>
  <c r="F97"/>
  <c r="F98" s="1"/>
  <c r="G93" s="1"/>
  <c r="D101" i="10"/>
  <c r="D97"/>
  <c r="D98" s="1"/>
  <c r="E92" s="1"/>
  <c r="D101" i="9"/>
  <c r="I92" i="11"/>
  <c r="D98"/>
  <c r="D99" s="1"/>
  <c r="I92" i="9"/>
  <c r="B69" i="10"/>
  <c r="B57" i="11"/>
  <c r="B69" s="1"/>
  <c r="G40" i="10"/>
  <c r="G39"/>
  <c r="D49"/>
  <c r="G38"/>
  <c r="G42" s="1"/>
  <c r="E93" i="11"/>
  <c r="E94"/>
  <c r="D98" i="9"/>
  <c r="D99" s="1"/>
  <c r="G94" i="10"/>
  <c r="G91"/>
  <c r="F99"/>
  <c r="G40" i="9"/>
  <c r="E39"/>
  <c r="G39"/>
  <c r="D49"/>
  <c r="E40"/>
  <c r="G38"/>
  <c r="G42" s="1"/>
  <c r="E94"/>
  <c r="G94"/>
  <c r="E91"/>
  <c r="E92"/>
  <c r="G94" i="11"/>
  <c r="D44" i="9"/>
  <c r="D45" s="1"/>
  <c r="D46" s="1"/>
  <c r="F97"/>
  <c r="F98" s="1"/>
  <c r="F99" s="1"/>
  <c r="D44" i="10"/>
  <c r="D45" s="1"/>
  <c r="D46" s="1"/>
  <c r="G92"/>
  <c r="G40" i="11"/>
  <c r="F44"/>
  <c r="F45" s="1"/>
  <c r="F46" s="1"/>
  <c r="G93" i="10"/>
  <c r="D102"/>
  <c r="E40" i="11"/>
  <c r="D44"/>
  <c r="D45" s="1"/>
  <c r="D49"/>
  <c r="E91" l="1"/>
  <c r="E92"/>
  <c r="F99"/>
  <c r="G92"/>
  <c r="G91"/>
  <c r="G93" i="9"/>
  <c r="D102"/>
  <c r="E93"/>
  <c r="E95" s="1"/>
  <c r="E38" i="11"/>
  <c r="D46"/>
  <c r="E40" i="10"/>
  <c r="E91"/>
  <c r="G38" i="11"/>
  <c r="G39"/>
  <c r="G95" i="10"/>
  <c r="E38" i="9"/>
  <c r="E38" i="10"/>
  <c r="E39" i="11"/>
  <c r="G91" i="9"/>
  <c r="G92"/>
  <c r="E93" i="10"/>
  <c r="D99"/>
  <c r="E39"/>
  <c r="E94"/>
  <c r="G95" i="11" l="1"/>
  <c r="D103"/>
  <c r="E108" s="1"/>
  <c r="E95"/>
  <c r="D105"/>
  <c r="G95" i="9"/>
  <c r="D50" i="10"/>
  <c r="E42"/>
  <c r="D52"/>
  <c r="D51" i="11"/>
  <c r="D52"/>
  <c r="D50"/>
  <c r="E42"/>
  <c r="G42"/>
  <c r="D103" i="9"/>
  <c r="D105"/>
  <c r="D50"/>
  <c r="E42"/>
  <c r="D52"/>
  <c r="D105" i="10"/>
  <c r="E95"/>
  <c r="D103"/>
  <c r="D104" s="1"/>
  <c r="E113" i="11" l="1"/>
  <c r="F113" s="1"/>
  <c r="E111"/>
  <c r="F111" s="1"/>
  <c r="E112"/>
  <c r="F112" s="1"/>
  <c r="D104"/>
  <c r="E109"/>
  <c r="F109" s="1"/>
  <c r="E110"/>
  <c r="F110" s="1"/>
  <c r="E113" i="9"/>
  <c r="F113" s="1"/>
  <c r="E111"/>
  <c r="F111" s="1"/>
  <c r="E109"/>
  <c r="F109" s="1"/>
  <c r="E112"/>
  <c r="F112" s="1"/>
  <c r="E110"/>
  <c r="F110" s="1"/>
  <c r="E108"/>
  <c r="D104"/>
  <c r="E113" i="10"/>
  <c r="F113" s="1"/>
  <c r="E111"/>
  <c r="F111" s="1"/>
  <c r="E109"/>
  <c r="F109" s="1"/>
  <c r="E112"/>
  <c r="F112" s="1"/>
  <c r="E110"/>
  <c r="F110" s="1"/>
  <c r="E108"/>
  <c r="F108" i="11"/>
  <c r="G66" i="10"/>
  <c r="H66" s="1"/>
  <c r="G64"/>
  <c r="H64" s="1"/>
  <c r="G69"/>
  <c r="H69" s="1"/>
  <c r="G61"/>
  <c r="H61" s="1"/>
  <c r="G68"/>
  <c r="H68" s="1"/>
  <c r="G65"/>
  <c r="H65" s="1"/>
  <c r="G70"/>
  <c r="H70" s="1"/>
  <c r="G62"/>
  <c r="H62" s="1"/>
  <c r="G60"/>
  <c r="G69" i="11"/>
  <c r="H69" s="1"/>
  <c r="G61"/>
  <c r="H61" s="1"/>
  <c r="G68"/>
  <c r="H68" s="1"/>
  <c r="G65"/>
  <c r="H65" s="1"/>
  <c r="G70"/>
  <c r="H70" s="1"/>
  <c r="G62"/>
  <c r="H62" s="1"/>
  <c r="G60"/>
  <c r="G66"/>
  <c r="H66" s="1"/>
  <c r="G64"/>
  <c r="H64" s="1"/>
  <c r="D51" i="10"/>
  <c r="G70" i="9"/>
  <c r="H70" s="1"/>
  <c r="G65"/>
  <c r="H65" s="1"/>
  <c r="G61"/>
  <c r="H61" s="1"/>
  <c r="G69"/>
  <c r="H69" s="1"/>
  <c r="G66"/>
  <c r="H66" s="1"/>
  <c r="G64"/>
  <c r="H64" s="1"/>
  <c r="G62"/>
  <c r="H62" s="1"/>
  <c r="G60"/>
  <c r="G68"/>
  <c r="H68" s="1"/>
  <c r="D51"/>
  <c r="E120" i="11" l="1"/>
  <c r="E117"/>
  <c r="E119"/>
  <c r="E115"/>
  <c r="E116" s="1"/>
  <c r="E120" i="9"/>
  <c r="E117"/>
  <c r="F108"/>
  <c r="E119"/>
  <c r="E115"/>
  <c r="E116" s="1"/>
  <c r="F119" i="11"/>
  <c r="D125"/>
  <c r="F115"/>
  <c r="G124" s="1"/>
  <c r="F125"/>
  <c r="F120"/>
  <c r="F117"/>
  <c r="E119" i="10"/>
  <c r="E115"/>
  <c r="E116" s="1"/>
  <c r="E120"/>
  <c r="E117"/>
  <c r="F108"/>
  <c r="G74" i="9"/>
  <c r="G72"/>
  <c r="G73" s="1"/>
  <c r="H60"/>
  <c r="G74" i="11"/>
  <c r="G72"/>
  <c r="G73" s="1"/>
  <c r="H60"/>
  <c r="H60" i="10"/>
  <c r="G74"/>
  <c r="G72"/>
  <c r="G73" s="1"/>
  <c r="H74" i="11" l="1"/>
  <c r="H72"/>
  <c r="G76" s="1"/>
  <c r="H74" i="9"/>
  <c r="H72"/>
  <c r="G76" s="1"/>
  <c r="F125" i="10"/>
  <c r="F120"/>
  <c r="F117"/>
  <c r="F119"/>
  <c r="D125"/>
  <c r="F115"/>
  <c r="G124" s="1"/>
  <c r="D125" i="9"/>
  <c r="F115"/>
  <c r="G124" s="1"/>
  <c r="F125"/>
  <c r="F120"/>
  <c r="F117"/>
  <c r="F119"/>
  <c r="H74" i="10"/>
  <c r="H72"/>
  <c r="G76" s="1"/>
  <c r="F116" i="11"/>
  <c r="H73" i="9" l="1"/>
  <c r="H73" i="11"/>
  <c r="H73" i="10"/>
  <c r="F116"/>
  <c r="F116" i="9"/>
</calcChain>
</file>

<file path=xl/sharedStrings.xml><?xml version="1.0" encoding="utf-8"?>
<sst xmlns="http://schemas.openxmlformats.org/spreadsheetml/2006/main" count="662" uniqueCount="146">
  <si>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</si>
  <si>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</si>
  <si>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</si>
  <si>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</si>
  <si>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</si>
  <si>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</si>
  <si>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</si>
  <si>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Weight (mg):</t>
  </si>
  <si>
    <t>Standard Conc (mg/mL):</t>
  </si>
  <si>
    <t xml:space="preserve">Each film coated tablet contains Lamivudine 150mg Zidovudine 300mg Nevirapine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</si>
  <si>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</si>
  <si>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</si>
  <si>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</si>
  <si>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</si>
  <si>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</si>
  <si>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</si>
  <si>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</si>
  <si>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</si>
  <si>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</si>
  <si>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</si>
  <si>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</si>
  <si>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</si>
  <si>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</si>
  <si>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</si>
  <si>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</si>
  <si>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</si>
  <si>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</si>
  <si>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</si>
  <si>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</si>
  <si>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</si>
  <si>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</si>
  <si>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</si>
  <si>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</si>
  <si>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</si>
  <si>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</si>
  <si>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</si>
  <si>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</si>
  <si>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</si>
  <si>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</si>
  <si>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</si>
  <si>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</si>
  <si>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</si>
  <si>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</si>
  <si>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</si>
  <si>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</si>
  <si>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</si>
  <si>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</si>
  <si>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</si>
  <si>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</si>
  <si>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</si>
  <si>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</si>
  <si>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</si>
  <si>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</si>
  <si>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</si>
  <si>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</si>
  <si>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</si>
  <si>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</si>
  <si>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</si>
  <si>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</si>
  <si>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</si>
  <si>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</si>
  <si>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</si>
  <si>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</si>
  <si>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</si>
  <si>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</si>
  <si>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</si>
  <si>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</si>
  <si>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</si>
  <si>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</si>
  <si>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</si>
  <si>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</si>
  <si>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</si>
  <si>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</si>
  <si>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</si>
  <si>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</si>
  <si>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</si>
  <si>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</si>
  <si>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</si>
  <si>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</si>
  <si>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</si>
  <si>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</si>
  <si>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</si>
  <si>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</si>
  <si>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</si>
  <si>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</si>
  <si>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</si>
  <si>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</si>
  <si>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</si>
  <si>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</si>
  <si>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</si>
  <si>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</si>
  <si>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</si>
  <si>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</si>
  <si>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</si>
  <si>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</si>
  <si>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</si>
  <si>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</si>
  <si>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</si>
  <si>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</si>
  <si>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</si>
  <si>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</si>
  <si>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</si>
  <si>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</si>
  <si>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</si>
  <si>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</si>
  <si>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</si>
  <si>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</si>
  <si>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</si>
  <si>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</si>
  <si>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</si>
  <si>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</si>
  <si>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</si>
  <si>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</si>
  <si>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</si>
  <si>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</si>
  <si>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</si>
  <si>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</si>
  <si>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</si>
  <si>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</si>
  <si>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</si>
  <si>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</si>
  <si>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</si>
  <si>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</si>
  <si>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</si>
  <si>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</si>
  <si>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</si>
  <si>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</si>
  <si>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</si>
  <si>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/ NEVIRAPINE / ZIDOVUDINE  DISPERSIBLE TABLETS 30 MG/50 MG/60 MG</t>
  </si>
  <si>
    <t>Lamivudine</t>
  </si>
  <si>
    <t>Zidovudine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</si>
  <si>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</si>
  <si>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</si>
  <si>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Nevirapine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</si>
  <si>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</si>
  <si>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Lamivudine/Nevirapine/Zidovudine</t>
  </si>
  <si>
    <t>Lot IOM388</t>
  </si>
  <si>
    <t>Z1-1</t>
  </si>
  <si>
    <t>N13-3</t>
  </si>
  <si>
    <t>LAMIVUDINE /NEVIRAPINE/ZIDOVUDINE TABLETS
150 &lt;MG/200 MG/300 MG</t>
  </si>
  <si>
    <t>NDQB201610187</t>
  </si>
  <si>
    <t>Lamivudine     Nevirapine and Zidovudine</t>
  </si>
  <si>
    <t>Each Film Coated Tablet Contains Lamivudine USP 150MG, Nevirapine USP 200MG, Zidovudine USP 300MG</t>
  </si>
  <si>
    <t>2016-10-26 07:59:17</t>
  </si>
  <si>
    <t>NDQE201607029</t>
  </si>
  <si>
    <t>NDQB201607028</t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</si>
</sst>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2" fillId="2" borderId="0"/>
    <xf numFmtId="0" fontId="23" fillId="2" borderId="0"/>
    <xf numFmtId="0" fontId="23" fillId="2" borderId="0"/>
    <xf numFmtId="0" fontId="23" fillId="2" borderId="0"/>
  </cellStyleXfs>
  <cellXfs count="319">
    <xf numFmtId="0" fontId="0" fillId="2" borderId="0" xfId="0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7" xfId="1" applyFont="1" applyFill="1" applyBorder="1" applyAlignment="1">
      <alignment horizontal="center"/>
    </xf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73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73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43" xfId="1" applyNumberFormat="1" applyFont="1" applyFill="1" applyBorder="1" applyAlignment="1">
      <alignment horizontal="center"/>
    </xf>
    <xf numFmtId="173" fontId="8" fillId="2" borderId="15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73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4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1" fontId="10" fillId="3" borderId="13" xfId="1" applyNumberFormat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73" fontId="8" fillId="2" borderId="22" xfId="1" applyNumberFormat="1" applyFont="1" applyFill="1" applyBorder="1" applyAlignment="1">
      <alignment horizontal="center"/>
    </xf>
    <xf numFmtId="1" fontId="10" fillId="3" borderId="14" xfId="1" applyNumberFormat="1" applyFont="1" applyFill="1" applyBorder="1" applyAlignment="1" applyProtection="1">
      <alignment horizontal="center"/>
      <protection locked="0"/>
    </xf>
    <xf numFmtId="166" fontId="8" fillId="2" borderId="14" xfId="1" applyNumberFormat="1" applyFont="1" applyFill="1" applyBorder="1" applyAlignment="1">
      <alignment horizontal="center"/>
    </xf>
    <xf numFmtId="173" fontId="8" fillId="2" borderId="24" xfId="1" applyNumberFormat="1" applyFont="1" applyFill="1" applyBorder="1" applyAlignment="1">
      <alignment horizontal="center"/>
    </xf>
    <xf numFmtId="1" fontId="10" fillId="3" borderId="15" xfId="1" applyNumberFormat="1" applyFont="1" applyFill="1" applyBorder="1" applyAlignment="1" applyProtection="1">
      <alignment horizontal="center"/>
      <protection locked="0"/>
    </xf>
    <xf numFmtId="166" fontId="8" fillId="2" borderId="15" xfId="1" applyNumberFormat="1" applyFont="1" applyFill="1" applyBorder="1" applyAlignment="1">
      <alignment horizontal="center"/>
    </xf>
    <xf numFmtId="173" fontId="8" fillId="2" borderId="44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71" fontId="8" fillId="2" borderId="16" xfId="1" applyNumberFormat="1" applyFont="1" applyFill="1" applyBorder="1" applyAlignment="1">
      <alignment horizontal="right"/>
    </xf>
    <xf numFmtId="2" fontId="10" fillId="7" borderId="55" xfId="1" applyNumberFormat="1" applyFont="1" applyFill="1" applyBorder="1" applyAlignment="1">
      <alignment horizontal="center"/>
    </xf>
    <xf numFmtId="174" fontId="10" fillId="7" borderId="52" xfId="1" applyNumberFormat="1" applyFont="1" applyFill="1" applyBorder="1" applyAlignment="1">
      <alignment horizontal="center"/>
    </xf>
    <xf numFmtId="0" fontId="8" fillId="2" borderId="23" xfId="1" applyFont="1" applyFill="1" applyBorder="1"/>
    <xf numFmtId="0" fontId="8" fillId="2" borderId="14" xfId="1" applyFont="1" applyFill="1" applyBorder="1" applyAlignment="1">
      <alignment horizontal="right"/>
    </xf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10" fillId="7" borderId="28" xfId="1" applyFont="1" applyFill="1" applyBorder="1" applyAlignment="1">
      <alignment horizontal="center"/>
    </xf>
    <xf numFmtId="0" fontId="10" fillId="7" borderId="56" xfId="1" applyFont="1" applyFill="1" applyBorder="1" applyAlignment="1">
      <alignment horizontal="center"/>
    </xf>
    <xf numFmtId="0" fontId="8" fillId="2" borderId="13" xfId="1" applyFont="1" applyFill="1" applyBorder="1"/>
    <xf numFmtId="0" fontId="16" fillId="2" borderId="0" xfId="1" applyFont="1" applyFill="1" applyAlignment="1">
      <alignment horizontal="right" vertical="center" wrapText="1"/>
    </xf>
    <xf numFmtId="2" fontId="10" fillId="6" borderId="54" xfId="1" applyNumberFormat="1" applyFont="1" applyFill="1" applyBorder="1" applyAlignment="1">
      <alignment horizontal="center"/>
    </xf>
    <xf numFmtId="174" fontId="10" fillId="6" borderId="54" xfId="1" applyNumberFormat="1" applyFont="1" applyFill="1" applyBorder="1" applyAlignment="1">
      <alignment horizontal="center"/>
    </xf>
    <xf numFmtId="2" fontId="10" fillId="7" borderId="46" xfId="1" applyNumberFormat="1" applyFont="1" applyFill="1" applyBorder="1" applyAlignment="1">
      <alignment horizontal="center"/>
    </xf>
    <xf numFmtId="174" fontId="10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24" fillId="2" borderId="0" xfId="4" applyFont="1" applyFill="1"/>
    <xf numFmtId="0" fontId="25" fillId="2" borderId="0" xfId="4" applyFont="1" applyFill="1" applyAlignment="1">
      <alignment wrapText="1"/>
    </xf>
    <xf numFmtId="0" fontId="26" fillId="2" borderId="0" xfId="4" applyFont="1" applyFill="1"/>
    <xf numFmtId="0" fontId="28" fillId="2" borderId="0" xfId="4" applyFont="1" applyFill="1"/>
    <xf numFmtId="167" fontId="28" fillId="2" borderId="0" xfId="4" applyNumberFormat="1" applyFont="1" applyFill="1" applyAlignment="1">
      <alignment horizontal="center"/>
    </xf>
    <xf numFmtId="0" fontId="27" fillId="2" borderId="0" xfId="4" applyFont="1" applyFill="1" applyAlignment="1">
      <alignment horizontal="right"/>
    </xf>
    <xf numFmtId="167" fontId="28" fillId="2" borderId="0" xfId="4" applyNumberFormat="1" applyFont="1" applyFill="1"/>
    <xf numFmtId="0" fontId="26" fillId="2" borderId="0" xfId="4" applyFont="1" applyFill="1" applyAlignment="1">
      <alignment horizontal="left"/>
    </xf>
    <xf numFmtId="0" fontId="29" fillId="2" borderId="0" xfId="4" applyFont="1" applyFill="1"/>
    <xf numFmtId="164" fontId="24" fillId="2" borderId="0" xfId="4" applyNumberFormat="1" applyFont="1" applyFill="1"/>
    <xf numFmtId="164" fontId="27" fillId="2" borderId="12" xfId="4" applyNumberFormat="1" applyFont="1" applyFill="1" applyBorder="1" applyAlignment="1">
      <alignment horizontal="center" wrapText="1"/>
    </xf>
    <xf numFmtId="0" fontId="27" fillId="2" borderId="12" xfId="4" applyFont="1" applyFill="1" applyBorder="1" applyAlignment="1">
      <alignment horizontal="center" wrapText="1"/>
    </xf>
    <xf numFmtId="0" fontId="30" fillId="2" borderId="0" xfId="4" applyFont="1" applyFill="1" applyAlignment="1">
      <alignment horizontal="center"/>
    </xf>
    <xf numFmtId="2" fontId="28" fillId="3" borderId="14" xfId="4" applyNumberFormat="1" applyFont="1" applyFill="1" applyBorder="1" applyProtection="1">
      <protection locked="0"/>
    </xf>
    <xf numFmtId="10" fontId="28" fillId="2" borderId="13" xfId="4" applyNumberFormat="1" applyFont="1" applyFill="1" applyBorder="1" applyAlignment="1">
      <alignment horizontal="center"/>
    </xf>
    <xf numFmtId="10" fontId="28" fillId="2" borderId="0" xfId="4" applyNumberFormat="1" applyFont="1" applyFill="1" applyAlignment="1">
      <alignment horizontal="center"/>
    </xf>
    <xf numFmtId="10" fontId="28" fillId="2" borderId="14" xfId="4" applyNumberFormat="1" applyFont="1" applyFill="1" applyBorder="1" applyAlignment="1">
      <alignment horizontal="center"/>
    </xf>
    <xf numFmtId="2" fontId="28" fillId="3" borderId="15" xfId="4" applyNumberFormat="1" applyFont="1" applyFill="1" applyBorder="1" applyProtection="1">
      <protection locked="0"/>
    </xf>
    <xf numFmtId="10" fontId="28" fillId="2" borderId="15" xfId="4" applyNumberFormat="1" applyFont="1" applyFill="1" applyBorder="1" applyAlignment="1">
      <alignment horizontal="center"/>
    </xf>
    <xf numFmtId="166" fontId="30" fillId="2" borderId="0" xfId="4" applyNumberFormat="1" applyFont="1" applyFill="1" applyAlignment="1">
      <alignment horizontal="center"/>
    </xf>
    <xf numFmtId="10" fontId="30" fillId="2" borderId="0" xfId="4" applyNumberFormat="1" applyFont="1" applyFill="1" applyAlignment="1">
      <alignment horizontal="center"/>
    </xf>
    <xf numFmtId="0" fontId="28" fillId="2" borderId="12" xfId="4" applyFont="1" applyFill="1" applyBorder="1" applyAlignment="1">
      <alignment horizontal="right" vertical="center"/>
    </xf>
    <xf numFmtId="166" fontId="28" fillId="2" borderId="12" xfId="4" applyNumberFormat="1" applyFont="1" applyFill="1" applyBorder="1" applyAlignment="1">
      <alignment horizontal="center" vertical="center"/>
    </xf>
    <xf numFmtId="166" fontId="28" fillId="2" borderId="0" xfId="4" applyNumberFormat="1" applyFont="1" applyFill="1" applyAlignment="1">
      <alignment horizontal="center"/>
    </xf>
    <xf numFmtId="164" fontId="27" fillId="2" borderId="12" xfId="4" applyNumberFormat="1" applyFont="1" applyFill="1" applyBorder="1" applyAlignment="1">
      <alignment horizontal="center" vertical="center"/>
    </xf>
    <xf numFmtId="2" fontId="31" fillId="2" borderId="0" xfId="4" applyNumberFormat="1" applyFont="1" applyFill="1" applyAlignment="1">
      <alignment horizontal="right"/>
    </xf>
    <xf numFmtId="2" fontId="27" fillId="2" borderId="0" xfId="4" applyNumberFormat="1" applyFont="1" applyFill="1"/>
    <xf numFmtId="2" fontId="31" fillId="2" borderId="0" xfId="4" applyNumberFormat="1" applyFont="1" applyFill="1"/>
    <xf numFmtId="0" fontId="27" fillId="2" borderId="12" xfId="4" applyFont="1" applyFill="1" applyBorder="1" applyAlignment="1">
      <alignment horizontal="center" vertical="center"/>
    </xf>
    <xf numFmtId="10" fontId="30" fillId="2" borderId="0" xfId="4" applyNumberFormat="1" applyFont="1" applyFill="1"/>
    <xf numFmtId="165" fontId="27" fillId="2" borderId="16" xfId="4" applyNumberFormat="1" applyFont="1" applyFill="1" applyBorder="1" applyAlignment="1">
      <alignment horizontal="center"/>
    </xf>
    <xf numFmtId="2" fontId="27" fillId="2" borderId="12" xfId="4" applyNumberFormat="1" applyFont="1" applyFill="1" applyBorder="1" applyAlignment="1">
      <alignment horizontal="center" vertical="center"/>
    </xf>
    <xf numFmtId="165" fontId="27" fillId="2" borderId="17" xfId="4" applyNumberFormat="1" applyFont="1" applyFill="1" applyBorder="1" applyAlignment="1">
      <alignment horizontal="center"/>
    </xf>
    <xf numFmtId="0" fontId="28" fillId="2" borderId="9" xfId="4" applyFont="1" applyFill="1" applyBorder="1"/>
    <xf numFmtId="0" fontId="28" fillId="2" borderId="0" xfId="4" applyFont="1" applyFill="1" applyAlignment="1">
      <alignment horizontal="center"/>
    </xf>
    <xf numFmtId="10" fontId="28" fillId="2" borderId="9" xfId="4" applyNumberFormat="1" applyFont="1" applyFill="1" applyBorder="1"/>
    <xf numFmtId="0" fontId="27" fillId="2" borderId="10" xfId="4" applyFont="1" applyFill="1" applyBorder="1"/>
    <xf numFmtId="0" fontId="27" fillId="2" borderId="10" xfId="4" applyFont="1" applyFill="1" applyBorder="1" applyAlignment="1">
      <alignment horizontal="center"/>
    </xf>
    <xf numFmtId="0" fontId="28" fillId="2" borderId="10" xfId="4" applyFont="1" applyFill="1" applyBorder="1" applyAlignment="1">
      <alignment horizontal="center"/>
    </xf>
    <xf numFmtId="0" fontId="28" fillId="2" borderId="7" xfId="4" applyFont="1" applyFill="1" applyBorder="1"/>
    <xf numFmtId="0" fontId="27" fillId="2" borderId="11" xfId="4" applyFont="1" applyFill="1" applyBorder="1"/>
    <xf numFmtId="0" fontId="27" fillId="2" borderId="0" xfId="4" applyFont="1" applyFill="1"/>
    <xf numFmtId="0" fontId="28" fillId="2" borderId="11" xfId="4" applyFont="1" applyFill="1" applyBorder="1"/>
    <xf numFmtId="0" fontId="0" fillId="2" borderId="0" xfId="4" applyFont="1" applyFill="1"/>
    <xf numFmtId="0" fontId="27" fillId="2" borderId="0" xfId="4" applyFont="1" applyFill="1" applyAlignment="1">
      <alignment horizontal="right"/>
    </xf>
    <xf numFmtId="0" fontId="26" fillId="2" borderId="0" xfId="4" applyFont="1" applyFill="1" applyAlignment="1">
      <alignment horizontal="center"/>
    </xf>
    <xf numFmtId="164" fontId="24" fillId="2" borderId="0" xfId="4" applyNumberFormat="1" applyFont="1" applyFill="1" applyAlignment="1">
      <alignment horizontal="center"/>
    </xf>
    <xf numFmtId="166" fontId="27" fillId="2" borderId="13" xfId="4" applyNumberFormat="1" applyFont="1" applyFill="1" applyBorder="1" applyAlignment="1">
      <alignment horizontal="center" vertical="center"/>
    </xf>
    <xf numFmtId="166" fontId="27" fillId="2" borderId="15" xfId="4" applyNumberFormat="1" applyFont="1" applyFill="1" applyBorder="1" applyAlignment="1">
      <alignment horizontal="center" vertical="center"/>
    </xf>
    <xf numFmtId="0" fontId="25" fillId="2" borderId="18" xfId="4" applyFont="1" applyFill="1" applyBorder="1" applyAlignment="1">
      <alignment horizontal="center" wrapText="1"/>
    </xf>
    <xf numFmtId="0" fontId="25" fillId="2" borderId="19" xfId="4" applyFont="1" applyFill="1" applyBorder="1" applyAlignment="1">
      <alignment horizontal="center" wrapText="1"/>
    </xf>
    <xf numFmtId="0" fontId="25" fillId="2" borderId="20" xfId="4" applyFont="1" applyFill="1" applyBorder="1" applyAlignment="1">
      <alignment horizont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9" fillId="2" borderId="0" xfId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 vertical="center"/>
    </xf>
    <xf numFmtId="0" fontId="9" fillId="2" borderId="55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2" fontId="7" fillId="3" borderId="6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2" fontId="7" fillId="3" borderId="8" xfId="0" applyNumberFormat="1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171" fontId="10" fillId="3" borderId="34" xfId="0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10" workbookViewId="0">
      <selection activeCell="D44" sqref="D44"/>
    </sheetView>
  </sheetViews>
  <sheetFormatPr defaultRowHeight="15"/>
  <cols>
    <col min="1" max="1" width="15.5703125" style="206" customWidth="1"/>
    <col min="2" max="2" width="18.42578125" style="206" customWidth="1"/>
    <col min="3" max="3" width="14.28515625" style="206" customWidth="1"/>
    <col min="4" max="4" width="15" style="206" customWidth="1"/>
    <col min="5" max="5" width="9.140625" style="206" customWidth="1"/>
    <col min="6" max="6" width="27.85546875" style="206" customWidth="1"/>
    <col min="7" max="7" width="12.28515625" style="206" customWidth="1"/>
    <col min="8" max="8" width="9.140625" style="206" customWidth="1"/>
    <col min="9" max="16384" width="9.140625" style="249"/>
  </cols>
  <sheetData>
    <row r="10" spans="1:7" ht="13.5" customHeight="1" thickBot="1"/>
    <row r="11" spans="1:7" ht="13.5" customHeight="1" thickBot="1">
      <c r="A11" s="255" t="s">
        <v>28</v>
      </c>
      <c r="B11" s="256"/>
      <c r="C11" s="256"/>
      <c r="D11" s="256"/>
      <c r="E11" s="256"/>
      <c r="F11" s="257"/>
      <c r="G11" s="207"/>
    </row>
    <row r="12" spans="1:7" ht="16.5" customHeight="1">
      <c r="A12" s="251" t="s">
        <v>29</v>
      </c>
      <c r="B12" s="251"/>
      <c r="C12" s="251"/>
      <c r="D12" s="251"/>
      <c r="E12" s="251"/>
      <c r="F12" s="251"/>
      <c r="G12" s="208"/>
    </row>
    <row r="14" spans="1:7" ht="16.5" customHeight="1">
      <c r="A14" s="250" t="s">
        <v>30</v>
      </c>
      <c r="B14" s="250"/>
      <c r="C14" s="209" t="s">
        <v>139</v>
      </c>
    </row>
    <row r="15" spans="1:7" ht="16.5" customHeight="1">
      <c r="A15" s="250" t="s">
        <v>31</v>
      </c>
      <c r="B15" s="250"/>
      <c r="C15" s="209" t="s">
        <v>140</v>
      </c>
    </row>
    <row r="16" spans="1:7" ht="16.5" customHeight="1">
      <c r="A16" s="250" t="s">
        <v>32</v>
      </c>
      <c r="B16" s="250"/>
      <c r="C16" s="209" t="s">
        <v>141</v>
      </c>
    </row>
    <row r="17" spans="1:5" ht="16.5" customHeight="1">
      <c r="A17" s="250" t="s">
        <v>33</v>
      </c>
      <c r="B17" s="250"/>
      <c r="C17" s="209" t="s">
        <v>142</v>
      </c>
    </row>
    <row r="18" spans="1:5" ht="16.5" customHeight="1">
      <c r="A18" s="250" t="s">
        <v>34</v>
      </c>
      <c r="B18" s="250"/>
      <c r="C18" s="210" t="s">
        <v>143</v>
      </c>
    </row>
    <row r="19" spans="1:5" ht="16.5" customHeight="1">
      <c r="A19" s="250" t="s">
        <v>35</v>
      </c>
      <c r="B19" s="250"/>
      <c r="C19" s="210" t="e">
        <f>#REF!</f>
        <v>#REF!</v>
      </c>
    </row>
    <row r="20" spans="1:5" ht="16.5" customHeight="1">
      <c r="A20" s="211"/>
      <c r="B20" s="211"/>
      <c r="C20" s="212"/>
    </row>
    <row r="21" spans="1:5" ht="16.5" customHeight="1">
      <c r="A21" s="251" t="s">
        <v>1</v>
      </c>
      <c r="B21" s="251"/>
      <c r="C21" s="213" t="s">
        <v>36</v>
      </c>
      <c r="D21" s="214"/>
    </row>
    <row r="22" spans="1:5" ht="15.75" customHeight="1" thickBot="1">
      <c r="A22" s="252"/>
      <c r="B22" s="252"/>
      <c r="C22" s="215"/>
      <c r="D22" s="252"/>
      <c r="E22" s="252"/>
    </row>
    <row r="23" spans="1:5" ht="33.75" customHeight="1" thickBot="1">
      <c r="C23" s="216" t="s">
        <v>37</v>
      </c>
      <c r="D23" s="217" t="s">
        <v>38</v>
      </c>
      <c r="E23" s="218"/>
    </row>
    <row r="24" spans="1:5" ht="15.75" customHeight="1">
      <c r="C24" s="219">
        <v>1227.44</v>
      </c>
      <c r="D24" s="220">
        <f t="shared" ref="D24:D43" si="0">(C24-$C$46)/$C$46</f>
        <v>1.772595540801466E-3</v>
      </c>
      <c r="E24" s="221"/>
    </row>
    <row r="25" spans="1:5" ht="15.75" customHeight="1">
      <c r="C25" s="219">
        <v>1207.77</v>
      </c>
      <c r="D25" s="222">
        <f t="shared" si="0"/>
        <v>-1.4281033927268368E-2</v>
      </c>
      <c r="E25" s="221"/>
    </row>
    <row r="26" spans="1:5" ht="15.75" customHeight="1">
      <c r="C26" s="219">
        <v>1221.3499999999999</v>
      </c>
      <c r="D26" s="222">
        <f t="shared" si="0"/>
        <v>-3.1977452553626044E-3</v>
      </c>
      <c r="E26" s="221"/>
    </row>
    <row r="27" spans="1:5" ht="15.75" customHeight="1">
      <c r="C27" s="219">
        <v>1210.92</v>
      </c>
      <c r="D27" s="222">
        <f t="shared" si="0"/>
        <v>-1.1710167998217974E-2</v>
      </c>
      <c r="E27" s="221"/>
    </row>
    <row r="28" spans="1:5" ht="15.75" customHeight="1">
      <c r="C28" s="219">
        <v>1224.81</v>
      </c>
      <c r="D28" s="222">
        <f t="shared" si="0"/>
        <v>-3.7387347297714399E-4</v>
      </c>
      <c r="E28" s="221"/>
    </row>
    <row r="29" spans="1:5" ht="15.75" customHeight="1">
      <c r="C29" s="219">
        <v>1250.79</v>
      </c>
      <c r="D29" s="222">
        <f t="shared" si="0"/>
        <v>2.0829649332333128E-2</v>
      </c>
      <c r="E29" s="221"/>
    </row>
    <row r="30" spans="1:5" ht="15.75" customHeight="1">
      <c r="C30" s="219">
        <v>1221.55</v>
      </c>
      <c r="D30" s="222">
        <f t="shared" si="0"/>
        <v>-3.0345156725657216E-3</v>
      </c>
      <c r="E30" s="221"/>
    </row>
    <row r="31" spans="1:5" ht="15.75" customHeight="1">
      <c r="C31" s="219">
        <v>1231.3900000000001</v>
      </c>
      <c r="D31" s="222">
        <f t="shared" si="0"/>
        <v>4.9963798010392059E-3</v>
      </c>
      <c r="E31" s="221"/>
    </row>
    <row r="32" spans="1:5" ht="15.75" customHeight="1">
      <c r="C32" s="219">
        <v>1216.67</v>
      </c>
      <c r="D32" s="222">
        <f t="shared" si="0"/>
        <v>-7.0173174928086597E-3</v>
      </c>
      <c r="E32" s="221"/>
    </row>
    <row r="33" spans="1:7" ht="15.75" customHeight="1">
      <c r="C33" s="219">
        <v>1246.0999999999999</v>
      </c>
      <c r="D33" s="222">
        <f t="shared" si="0"/>
        <v>1.700191561574705E-2</v>
      </c>
      <c r="E33" s="221"/>
    </row>
    <row r="34" spans="1:7" ht="15.75" customHeight="1">
      <c r="C34" s="219">
        <v>1232.24</v>
      </c>
      <c r="D34" s="222">
        <f t="shared" si="0"/>
        <v>5.6901055279257257E-3</v>
      </c>
      <c r="E34" s="221"/>
    </row>
    <row r="35" spans="1:7" ht="15.75" customHeight="1">
      <c r="C35" s="219">
        <v>1206.6199999999999</v>
      </c>
      <c r="D35" s="222">
        <f t="shared" si="0"/>
        <v>-1.5219604028350304E-2</v>
      </c>
      <c r="E35" s="221"/>
    </row>
    <row r="36" spans="1:7" ht="15.75" customHeight="1">
      <c r="C36" s="219">
        <v>1232.1400000000001</v>
      </c>
      <c r="D36" s="222">
        <f t="shared" si="0"/>
        <v>5.6084907365273771E-3</v>
      </c>
      <c r="E36" s="221"/>
    </row>
    <row r="37" spans="1:7" ht="15.75" customHeight="1">
      <c r="C37" s="219">
        <v>1204.05</v>
      </c>
      <c r="D37" s="222">
        <f t="shared" si="0"/>
        <v>-1.731710416728972E-2</v>
      </c>
      <c r="E37" s="221"/>
    </row>
    <row r="38" spans="1:7" ht="15.75" customHeight="1">
      <c r="C38" s="219">
        <v>1217.17</v>
      </c>
      <c r="D38" s="222">
        <f t="shared" si="0"/>
        <v>-6.6092435358165455E-3</v>
      </c>
      <c r="E38" s="221"/>
    </row>
    <row r="39" spans="1:7" ht="15.75" customHeight="1">
      <c r="C39" s="219">
        <v>1217.53</v>
      </c>
      <c r="D39" s="222">
        <f t="shared" si="0"/>
        <v>-6.3154302867823049E-3</v>
      </c>
      <c r="E39" s="221"/>
    </row>
    <row r="40" spans="1:7" ht="15.75" customHeight="1">
      <c r="C40" s="219">
        <v>1228.1199999999999</v>
      </c>
      <c r="D40" s="222">
        <f t="shared" si="0"/>
        <v>2.3275761223106079E-3</v>
      </c>
      <c r="E40" s="221"/>
    </row>
    <row r="41" spans="1:7" ht="15.75" customHeight="1">
      <c r="C41" s="219">
        <v>1221.53</v>
      </c>
      <c r="D41" s="222">
        <f t="shared" si="0"/>
        <v>-3.0508386308453913E-3</v>
      </c>
      <c r="E41" s="221"/>
    </row>
    <row r="42" spans="1:7" ht="15.75" customHeight="1">
      <c r="C42" s="219">
        <v>1246.03</v>
      </c>
      <c r="D42" s="222">
        <f t="shared" si="0"/>
        <v>1.6944785261768208E-2</v>
      </c>
      <c r="E42" s="221"/>
    </row>
    <row r="43" spans="1:7" ht="16.5" customHeight="1" thickBot="1">
      <c r="C43" s="223">
        <v>1224.79</v>
      </c>
      <c r="D43" s="224">
        <f t="shared" si="0"/>
        <v>-3.9019643125681372E-4</v>
      </c>
      <c r="E43" s="221"/>
    </row>
    <row r="44" spans="1:7" ht="16.5" customHeight="1" thickBot="1">
      <c r="C44" s="225">
        <v>1241.6199999999999</v>
      </c>
      <c r="D44" s="221"/>
      <c r="E44" s="226"/>
    </row>
    <row r="45" spans="1:7" ht="16.5" customHeight="1" thickBot="1">
      <c r="B45" s="227" t="s">
        <v>39</v>
      </c>
      <c r="C45" s="228">
        <f>SUM(C24:C44)</f>
        <v>25730.62999999999</v>
      </c>
      <c r="D45" s="229"/>
      <c r="E45" s="225"/>
    </row>
    <row r="46" spans="1:7" ht="17.25" customHeight="1" thickBot="1">
      <c r="B46" s="227" t="s">
        <v>40</v>
      </c>
      <c r="C46" s="230">
        <f>AVERAGE(C24:C44)</f>
        <v>1225.2680952380947</v>
      </c>
      <c r="E46" s="231"/>
    </row>
    <row r="47" spans="1:7" ht="17.25" customHeight="1" thickBot="1">
      <c r="A47" s="209"/>
      <c r="B47" s="232"/>
      <c r="D47" s="233"/>
      <c r="E47" s="231"/>
    </row>
    <row r="48" spans="1:7" ht="33.75" customHeight="1" thickBot="1">
      <c r="B48" s="234" t="s">
        <v>40</v>
      </c>
      <c r="C48" s="217" t="s">
        <v>41</v>
      </c>
      <c r="D48" s="235"/>
      <c r="G48" s="233"/>
    </row>
    <row r="49" spans="1:6" ht="17.25" customHeight="1" thickBot="1">
      <c r="B49" s="253">
        <f>C46</f>
        <v>1225.2680952380947</v>
      </c>
      <c r="C49" s="236">
        <f>-IF(C46&lt;=80,10%,IF(C46&lt;250,7.5%,5%))</f>
        <v>-0.05</v>
      </c>
      <c r="D49" s="237">
        <f>IF(C46&lt;=80,C46*0.9,IF(C46&lt;250,C46*0.925,C46*0.95))</f>
        <v>1164.0046904761898</v>
      </c>
    </row>
    <row r="50" spans="1:6" ht="17.25" customHeight="1" thickBot="1">
      <c r="B50" s="254"/>
      <c r="C50" s="238">
        <f>IF(C46&lt;=80, 10%, IF(C46&lt;250, 7.5%, 5%))</f>
        <v>0.05</v>
      </c>
      <c r="D50" s="237">
        <f>IF(C46&lt;=80, C46*1.1, IF(C46&lt;250, C46*1.075, C46*1.05))</f>
        <v>1286.5314999999996</v>
      </c>
    </row>
    <row r="51" spans="1:6" ht="16.5" customHeight="1" thickBot="1">
      <c r="A51" s="239"/>
      <c r="B51" s="240"/>
      <c r="C51" s="209"/>
      <c r="D51" s="241"/>
      <c r="E51" s="209"/>
      <c r="F51" s="214"/>
    </row>
    <row r="52" spans="1:6" ht="16.5" customHeight="1">
      <c r="A52" s="209"/>
      <c r="B52" s="242" t="s">
        <v>23</v>
      </c>
      <c r="C52" s="242"/>
      <c r="D52" s="243" t="s">
        <v>24</v>
      </c>
      <c r="E52" s="244"/>
      <c r="F52" s="243" t="s">
        <v>25</v>
      </c>
    </row>
    <row r="53" spans="1:6" ht="34.5" customHeight="1">
      <c r="A53" s="211" t="s">
        <v>26</v>
      </c>
      <c r="B53" s="245"/>
      <c r="C53" s="209"/>
      <c r="D53" s="245"/>
      <c r="E53" s="209"/>
      <c r="F53" s="245"/>
    </row>
    <row r="54" spans="1:6" ht="34.5" customHeight="1">
      <c r="A54" s="211" t="s">
        <v>27</v>
      </c>
      <c r="B54" s="246"/>
      <c r="C54" s="247"/>
      <c r="D54" s="246"/>
      <c r="E54" s="209"/>
      <c r="F54" s="24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31" sqref="B31:E36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5" ht="18.75" customHeight="1">
      <c r="A1" s="258" t="s">
        <v>0</v>
      </c>
      <c r="B1" s="258"/>
      <c r="C1" s="258"/>
      <c r="D1" s="258"/>
      <c r="E1" s="258"/>
    </row>
    <row r="2" spans="1:5" ht="16.5" customHeight="1">
      <c r="A2" s="2" t="s">
        <v>1</v>
      </c>
      <c r="B2" s="3" t="s">
        <v>2</v>
      </c>
    </row>
    <row r="3" spans="1:5" ht="16.5" customHeight="1">
      <c r="A3" s="4" t="s">
        <v>3</v>
      </c>
      <c r="B3" s="4" t="s">
        <v>128</v>
      </c>
      <c r="D3" s="5"/>
      <c r="E3" s="6"/>
    </row>
    <row r="4" spans="1:5" ht="16.5" customHeight="1">
      <c r="A4" s="7" t="s">
        <v>4</v>
      </c>
      <c r="B4" s="4" t="s">
        <v>129</v>
      </c>
      <c r="C4" s="6"/>
      <c r="D4" s="6"/>
      <c r="E4" s="6"/>
    </row>
    <row r="5" spans="1:5" ht="16.5" customHeight="1">
      <c r="A5" s="7" t="s">
        <v>6</v>
      </c>
      <c r="B5" s="8">
        <v>99.3</v>
      </c>
      <c r="C5" s="6"/>
      <c r="D5" s="6"/>
      <c r="E5" s="6"/>
    </row>
    <row r="6" spans="1:5" ht="16.5" customHeight="1">
      <c r="A6" s="4" t="s">
        <v>7</v>
      </c>
      <c r="B6" s="8">
        <v>16.260000000000002</v>
      </c>
      <c r="C6" s="6"/>
      <c r="D6" s="6"/>
      <c r="E6" s="6"/>
    </row>
    <row r="7" spans="1:5" ht="16.5" customHeight="1">
      <c r="A7" s="4" t="s">
        <v>8</v>
      </c>
      <c r="B7" s="9">
        <f>B6/100</f>
        <v>0.16260000000000002</v>
      </c>
      <c r="C7" s="6"/>
      <c r="D7" s="6"/>
      <c r="E7" s="6"/>
    </row>
    <row r="8" spans="1:5" ht="15.75" customHeight="1">
      <c r="A8" s="6"/>
      <c r="B8" s="6"/>
      <c r="C8" s="6"/>
      <c r="D8" s="6"/>
      <c r="E8" s="6"/>
    </row>
    <row r="9" spans="1:5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10" t="s">
        <v>14</v>
      </c>
    </row>
    <row r="10" spans="1:5" ht="16.5" customHeight="1">
      <c r="A10" s="12">
        <v>1</v>
      </c>
      <c r="B10" s="13">
        <v>32806262</v>
      </c>
      <c r="C10" s="13">
        <v>6068.33</v>
      </c>
      <c r="D10" s="14">
        <v>1.1399999999999999</v>
      </c>
      <c r="E10" s="15">
        <v>2.85</v>
      </c>
    </row>
    <row r="11" spans="1:5" ht="16.5" customHeight="1">
      <c r="A11" s="12">
        <v>2</v>
      </c>
      <c r="B11" s="13">
        <v>32772647</v>
      </c>
      <c r="C11" s="13">
        <v>6077.74</v>
      </c>
      <c r="D11" s="14">
        <v>1.1499999999999999</v>
      </c>
      <c r="E11" s="14">
        <v>2.85</v>
      </c>
    </row>
    <row r="12" spans="1:5" ht="16.5" customHeight="1">
      <c r="A12" s="12">
        <v>3</v>
      </c>
      <c r="B12" s="13">
        <v>32917670</v>
      </c>
      <c r="C12" s="13">
        <v>6077.4</v>
      </c>
      <c r="D12" s="14">
        <v>1.1499999999999999</v>
      </c>
      <c r="E12" s="14">
        <v>2.85</v>
      </c>
    </row>
    <row r="13" spans="1:5" ht="16.5" customHeight="1">
      <c r="A13" s="12">
        <v>4</v>
      </c>
      <c r="B13" s="13">
        <v>32741396</v>
      </c>
      <c r="C13" s="13">
        <v>6083.06</v>
      </c>
      <c r="D13" s="14">
        <v>1.1399999999999999</v>
      </c>
      <c r="E13" s="14">
        <v>2.85</v>
      </c>
    </row>
    <row r="14" spans="1:5" ht="16.5" customHeight="1">
      <c r="A14" s="12">
        <v>5</v>
      </c>
      <c r="B14" s="13">
        <v>32866836</v>
      </c>
      <c r="C14" s="13">
        <v>6192.54</v>
      </c>
      <c r="D14" s="14">
        <v>1.1000000000000001</v>
      </c>
      <c r="E14" s="14">
        <v>2.85</v>
      </c>
    </row>
    <row r="15" spans="1:5" ht="16.5" customHeight="1">
      <c r="A15" s="12">
        <v>6</v>
      </c>
      <c r="B15" s="16">
        <v>32960195</v>
      </c>
      <c r="C15" s="16">
        <v>6197.57</v>
      </c>
      <c r="D15" s="17">
        <v>1.1000000000000001</v>
      </c>
      <c r="E15" s="17">
        <v>2.85</v>
      </c>
    </row>
    <row r="16" spans="1:5" ht="16.5" customHeight="1">
      <c r="A16" s="18" t="s">
        <v>15</v>
      </c>
      <c r="B16" s="19">
        <f>AVERAGE(B10:B15)</f>
        <v>32844167.666666668</v>
      </c>
      <c r="C16" s="20">
        <f>AVERAGE(C10:C15)</f>
        <v>6116.1066666666666</v>
      </c>
      <c r="D16" s="21">
        <f>AVERAGE(D10:D15)</f>
        <v>1.1299999999999999</v>
      </c>
      <c r="E16" s="21">
        <f>AVERAGE(E10:E15)</f>
        <v>2.85</v>
      </c>
    </row>
    <row r="17" spans="1:5" ht="16.5" customHeight="1">
      <c r="A17" s="22" t="s">
        <v>16</v>
      </c>
      <c r="B17" s="23">
        <f>(STDEV(B10:B15)/B16)</f>
        <v>2.6011214092247761E-3</v>
      </c>
      <c r="C17" s="24"/>
      <c r="D17" s="24"/>
      <c r="E17" s="25"/>
    </row>
    <row r="18" spans="1:5" s="1" customFormat="1" ht="16.5" customHeight="1">
      <c r="A18" s="26" t="s">
        <v>17</v>
      </c>
      <c r="B18" s="27">
        <f>COUNT(B10:B15)</f>
        <v>6</v>
      </c>
      <c r="C18" s="28"/>
      <c r="D18" s="29"/>
      <c r="E18" s="30"/>
    </row>
    <row r="19" spans="1:5" s="1" customFormat="1" ht="15.75" customHeight="1">
      <c r="A19" s="6"/>
      <c r="B19" s="6"/>
      <c r="C19" s="6"/>
      <c r="D19" s="6"/>
      <c r="E19" s="6"/>
    </row>
    <row r="20" spans="1:5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5" ht="16.5" customHeight="1">
      <c r="A21" s="7"/>
      <c r="B21" s="31" t="s">
        <v>20</v>
      </c>
      <c r="C21" s="32"/>
      <c r="D21" s="32"/>
      <c r="E21" s="32"/>
    </row>
    <row r="22" spans="1:5" ht="16.5" customHeight="1">
      <c r="A22" s="7"/>
      <c r="B22" s="31" t="s">
        <v>21</v>
      </c>
      <c r="C22" s="32"/>
      <c r="D22" s="32"/>
      <c r="E22" s="32"/>
    </row>
    <row r="23" spans="1:5" ht="15.75" customHeight="1">
      <c r="A23" s="6"/>
      <c r="B23" s="6"/>
      <c r="C23" s="6"/>
      <c r="D23" s="6"/>
      <c r="E23" s="6"/>
    </row>
    <row r="24" spans="1:5" ht="16.5" customHeight="1">
      <c r="A24" s="2" t="s">
        <v>1</v>
      </c>
      <c r="B24" s="3" t="s">
        <v>22</v>
      </c>
    </row>
    <row r="25" spans="1:5" ht="16.5" customHeight="1">
      <c r="A25" s="7" t="s">
        <v>4</v>
      </c>
      <c r="B25" s="303" t="s">
        <v>129</v>
      </c>
      <c r="C25" s="6"/>
      <c r="D25" s="6"/>
      <c r="E25" s="6"/>
    </row>
    <row r="26" spans="1:5" ht="16.5" customHeight="1">
      <c r="A26" s="7" t="s">
        <v>6</v>
      </c>
      <c r="B26" s="304">
        <v>99.39</v>
      </c>
      <c r="C26" s="6"/>
      <c r="D26" s="6"/>
      <c r="E26" s="6"/>
    </row>
    <row r="27" spans="1:5" ht="16.5" customHeight="1">
      <c r="A27" s="4" t="s">
        <v>7</v>
      </c>
      <c r="B27" s="304">
        <v>31.85</v>
      </c>
      <c r="C27" s="6"/>
      <c r="D27" s="6"/>
      <c r="E27" s="6"/>
    </row>
    <row r="28" spans="1:5" ht="16.5" customHeight="1">
      <c r="A28" s="4" t="s">
        <v>8</v>
      </c>
      <c r="B28" s="305">
        <v>0.31850000000000001</v>
      </c>
      <c r="C28" s="6"/>
      <c r="D28" s="6"/>
      <c r="E28" s="6"/>
    </row>
    <row r="29" spans="1:5" ht="15.75" customHeight="1">
      <c r="A29" s="6"/>
      <c r="B29" s="6"/>
      <c r="C29" s="6"/>
      <c r="D29" s="6"/>
      <c r="E29" s="6"/>
    </row>
    <row r="30" spans="1:5" ht="16.5" customHeight="1">
      <c r="A30" s="10" t="s">
        <v>10</v>
      </c>
      <c r="B30" s="11" t="s">
        <v>11</v>
      </c>
      <c r="C30" s="10" t="s">
        <v>12</v>
      </c>
      <c r="D30" s="10" t="s">
        <v>13</v>
      </c>
      <c r="E30" s="10" t="s">
        <v>14</v>
      </c>
    </row>
    <row r="31" spans="1:5" ht="16.5" customHeight="1">
      <c r="A31" s="12">
        <v>1</v>
      </c>
      <c r="B31" s="306">
        <v>117904928</v>
      </c>
      <c r="C31" s="307">
        <v>6454</v>
      </c>
      <c r="D31" s="308">
        <v>1.1000000000000001</v>
      </c>
      <c r="E31" s="309">
        <v>3.1</v>
      </c>
    </row>
    <row r="32" spans="1:5" ht="16.5" customHeight="1">
      <c r="A32" s="12">
        <v>2</v>
      </c>
      <c r="B32" s="306">
        <v>117430263</v>
      </c>
      <c r="C32" s="307">
        <v>6470.1</v>
      </c>
      <c r="D32" s="308">
        <v>1.1000000000000001</v>
      </c>
      <c r="E32" s="308">
        <v>3.1</v>
      </c>
    </row>
    <row r="33" spans="1:7" ht="16.5" customHeight="1">
      <c r="A33" s="12">
        <v>3</v>
      </c>
      <c r="B33" s="306">
        <v>117456623</v>
      </c>
      <c r="C33" s="307">
        <v>6475.2</v>
      </c>
      <c r="D33" s="308">
        <v>1.1000000000000001</v>
      </c>
      <c r="E33" s="308">
        <v>3.1</v>
      </c>
    </row>
    <row r="34" spans="1:7" ht="16.5" customHeight="1">
      <c r="A34" s="12">
        <v>4</v>
      </c>
      <c r="B34" s="306">
        <v>117330026</v>
      </c>
      <c r="C34" s="307">
        <v>6490.8</v>
      </c>
      <c r="D34" s="308">
        <v>1.1000000000000001</v>
      </c>
      <c r="E34" s="308">
        <v>3.1</v>
      </c>
    </row>
    <row r="35" spans="1:7" ht="16.5" customHeight="1">
      <c r="A35" s="12">
        <v>5</v>
      </c>
      <c r="B35" s="306">
        <v>117652140</v>
      </c>
      <c r="C35" s="307">
        <v>6489</v>
      </c>
      <c r="D35" s="308">
        <v>1.1000000000000001</v>
      </c>
      <c r="E35" s="308">
        <v>3.1</v>
      </c>
    </row>
    <row r="36" spans="1:7" ht="16.5" customHeight="1">
      <c r="A36" s="12">
        <v>6</v>
      </c>
      <c r="B36" s="310">
        <v>117632031</v>
      </c>
      <c r="C36" s="311">
        <v>6475.8</v>
      </c>
      <c r="D36" s="312">
        <v>1.1000000000000001</v>
      </c>
      <c r="E36" s="312">
        <v>3.1</v>
      </c>
    </row>
    <row r="37" spans="1:7" ht="16.5" customHeight="1">
      <c r="A37" s="18" t="s">
        <v>15</v>
      </c>
      <c r="B37" s="19">
        <f>AVERAGE(B31:B36)</f>
        <v>117567668.5</v>
      </c>
      <c r="C37" s="20">
        <f>AVERAGE(C31:C36)</f>
        <v>6475.8166666666666</v>
      </c>
      <c r="D37" s="21">
        <f>AVERAGE(D31:D36)</f>
        <v>1.0999999999999999</v>
      </c>
      <c r="E37" s="21">
        <f>AVERAGE(E31:E36)</f>
        <v>3.1</v>
      </c>
    </row>
    <row r="38" spans="1:7" ht="16.5" customHeight="1">
      <c r="A38" s="22" t="s">
        <v>16</v>
      </c>
      <c r="B38" s="23">
        <f>(STDEV(B31:B36)/B37)</f>
        <v>1.7543581439911434E-3</v>
      </c>
      <c r="C38" s="24"/>
      <c r="D38" s="24"/>
      <c r="E38" s="25"/>
    </row>
    <row r="39" spans="1:7" s="1" customFormat="1" ht="16.5" customHeight="1">
      <c r="A39" s="26" t="s">
        <v>17</v>
      </c>
      <c r="B39" s="27">
        <f>COUNT(B31:B36)</f>
        <v>6</v>
      </c>
      <c r="C39" s="28"/>
      <c r="D39" s="29"/>
      <c r="E39" s="30"/>
    </row>
    <row r="40" spans="1:7" s="1" customFormat="1" ht="15.75" customHeight="1">
      <c r="A40" s="6"/>
      <c r="B40" s="6"/>
      <c r="C40" s="6"/>
      <c r="D40" s="6"/>
      <c r="E40" s="6"/>
    </row>
    <row r="41" spans="1:7" s="1" customFormat="1" ht="16.5" customHeight="1">
      <c r="A41" s="7" t="s">
        <v>18</v>
      </c>
      <c r="B41" s="31" t="s">
        <v>19</v>
      </c>
      <c r="C41" s="32"/>
      <c r="D41" s="32"/>
      <c r="E41" s="32"/>
    </row>
    <row r="42" spans="1:7" ht="16.5" customHeight="1">
      <c r="A42" s="7"/>
      <c r="B42" s="31" t="s">
        <v>20</v>
      </c>
      <c r="C42" s="32"/>
      <c r="D42" s="32"/>
      <c r="E42" s="32"/>
    </row>
    <row r="43" spans="1:7" ht="16.5" customHeight="1">
      <c r="A43" s="7"/>
      <c r="B43" s="31" t="s">
        <v>21</v>
      </c>
      <c r="C43" s="32"/>
      <c r="D43" s="32"/>
      <c r="E43" s="32"/>
    </row>
    <row r="44" spans="1:7" ht="14.25" customHeight="1" thickBot="1">
      <c r="A44" s="33"/>
      <c r="B44" s="34"/>
      <c r="D44" s="35"/>
      <c r="F44" s="36"/>
      <c r="G44" s="36"/>
    </row>
    <row r="45" spans="1:7" ht="15" customHeight="1">
      <c r="B45" s="259" t="s">
        <v>23</v>
      </c>
      <c r="C45" s="259"/>
      <c r="E45" s="37" t="s">
        <v>24</v>
      </c>
      <c r="F45" s="38"/>
      <c r="G45" s="37" t="s">
        <v>25</v>
      </c>
    </row>
    <row r="46" spans="1:7" ht="15" customHeight="1">
      <c r="A46" s="39" t="s">
        <v>26</v>
      </c>
      <c r="B46" s="40"/>
      <c r="C46" s="40"/>
      <c r="E46" s="40"/>
      <c r="G46" s="40"/>
    </row>
    <row r="47" spans="1:7" ht="15" customHeight="1">
      <c r="A47" s="39" t="s">
        <v>27</v>
      </c>
      <c r="B47" s="41"/>
      <c r="C47" s="41"/>
      <c r="E47" s="41"/>
      <c r="G47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B32" sqref="B32:E37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>
      <c r="A1" s="258" t="s">
        <v>0</v>
      </c>
      <c r="B1" s="258"/>
      <c r="C1" s="258"/>
      <c r="D1" s="258"/>
      <c r="E1" s="258"/>
    </row>
    <row r="2" spans="1:10" ht="16.5" customHeight="1">
      <c r="A2" s="2" t="s">
        <v>1</v>
      </c>
      <c r="B2" s="3" t="s">
        <v>2</v>
      </c>
    </row>
    <row r="3" spans="1:10" ht="16.5" customHeight="1">
      <c r="A3" s="4" t="s">
        <v>3</v>
      </c>
      <c r="B3" s="4" t="s">
        <v>128</v>
      </c>
      <c r="D3" s="5"/>
      <c r="E3" s="6"/>
    </row>
    <row r="4" spans="1:10" ht="16.5" customHeight="1">
      <c r="A4" s="7" t="s">
        <v>4</v>
      </c>
      <c r="B4" s="4" t="s">
        <v>130</v>
      </c>
      <c r="C4" s="6"/>
      <c r="D4" s="6"/>
      <c r="E4" s="6"/>
    </row>
    <row r="5" spans="1:10" ht="16.5" customHeight="1">
      <c r="A5" s="7" t="s">
        <v>6</v>
      </c>
      <c r="B5" s="8">
        <v>99</v>
      </c>
      <c r="C5" s="6"/>
      <c r="D5" s="6"/>
      <c r="E5" s="6"/>
    </row>
    <row r="6" spans="1:10" ht="16.5" customHeight="1">
      <c r="A6" s="4" t="s">
        <v>7</v>
      </c>
      <c r="B6" s="8">
        <v>28.1</v>
      </c>
      <c r="C6" s="6"/>
      <c r="D6" s="6"/>
      <c r="E6" s="6"/>
    </row>
    <row r="7" spans="1:10" ht="16.5" customHeight="1">
      <c r="A7" s="4" t="s">
        <v>8</v>
      </c>
      <c r="B7" s="9">
        <f>B6/100</f>
        <v>0.28100000000000003</v>
      </c>
      <c r="C7" s="6"/>
      <c r="D7" s="6"/>
      <c r="E7" s="6"/>
    </row>
    <row r="8" spans="1:10" ht="15.75" customHeight="1">
      <c r="A8" s="6"/>
      <c r="B8" s="6"/>
      <c r="C8" s="6"/>
      <c r="D8" s="6"/>
      <c r="E8" s="6"/>
    </row>
    <row r="9" spans="1:10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>
      <c r="A10" s="12">
        <v>1</v>
      </c>
      <c r="B10" s="13">
        <v>49705639</v>
      </c>
      <c r="C10" s="13">
        <v>6569.71</v>
      </c>
      <c r="D10" s="14">
        <v>1.1100000000000001</v>
      </c>
      <c r="E10" s="15">
        <v>3.72</v>
      </c>
      <c r="F10" s="15">
        <v>5.27</v>
      </c>
      <c r="J10" s="1"/>
    </row>
    <row r="11" spans="1:10" ht="16.5" customHeight="1">
      <c r="A11" s="12">
        <v>2</v>
      </c>
      <c r="B11" s="13">
        <v>49650466</v>
      </c>
      <c r="C11" s="13">
        <v>6568.8</v>
      </c>
      <c r="D11" s="14">
        <v>1.1200000000000001</v>
      </c>
      <c r="E11" s="14">
        <v>3.72</v>
      </c>
      <c r="F11" s="14">
        <v>5.26</v>
      </c>
      <c r="J11" s="1"/>
    </row>
    <row r="12" spans="1:10" ht="16.5" customHeight="1">
      <c r="A12" s="12">
        <v>3</v>
      </c>
      <c r="B12" s="13">
        <v>49879574</v>
      </c>
      <c r="C12" s="13">
        <v>6562.82</v>
      </c>
      <c r="D12" s="14">
        <v>1.1299999999999999</v>
      </c>
      <c r="E12" s="14">
        <v>3.72</v>
      </c>
      <c r="F12" s="14">
        <v>5.26</v>
      </c>
      <c r="J12" s="1"/>
    </row>
    <row r="13" spans="1:10" ht="16.5" customHeight="1">
      <c r="A13" s="12">
        <v>4</v>
      </c>
      <c r="B13" s="13">
        <v>49613766</v>
      </c>
      <c r="C13" s="13">
        <v>6570.43</v>
      </c>
      <c r="D13" s="14">
        <v>1.1200000000000001</v>
      </c>
      <c r="E13" s="14">
        <v>3.72</v>
      </c>
      <c r="F13" s="14">
        <v>5.26</v>
      </c>
      <c r="J13" s="1"/>
    </row>
    <row r="14" spans="1:10" ht="16.5" customHeight="1">
      <c r="A14" s="12">
        <v>5</v>
      </c>
      <c r="B14" s="13">
        <v>49802921</v>
      </c>
      <c r="C14" s="13">
        <v>6584.57</v>
      </c>
      <c r="D14" s="14">
        <v>1.0900000000000001</v>
      </c>
      <c r="E14" s="14">
        <v>3.73</v>
      </c>
      <c r="F14" s="14">
        <v>5.28</v>
      </c>
      <c r="J14" s="1"/>
    </row>
    <row r="15" spans="1:10" ht="16.5" customHeight="1">
      <c r="A15" s="12">
        <v>6</v>
      </c>
      <c r="B15" s="16">
        <v>49931197</v>
      </c>
      <c r="C15" s="16">
        <v>6578.47</v>
      </c>
      <c r="D15" s="17">
        <v>1.0900000000000001</v>
      </c>
      <c r="E15" s="17">
        <v>3.73</v>
      </c>
      <c r="F15" s="17">
        <v>5.28</v>
      </c>
      <c r="J15" s="1"/>
    </row>
    <row r="16" spans="1:10" ht="16.5" customHeight="1">
      <c r="A16" s="18" t="s">
        <v>15</v>
      </c>
      <c r="B16" s="19">
        <f>AVERAGE(B10:B15)</f>
        <v>49763927.166666664</v>
      </c>
      <c r="C16" s="20">
        <f>AVERAGE(C10:C15)</f>
        <v>6572.4666666666672</v>
      </c>
      <c r="D16" s="21">
        <f>AVERAGE(D10:D15)</f>
        <v>1.1100000000000001</v>
      </c>
      <c r="E16" s="21">
        <f>AVERAGE(E10:E15)</f>
        <v>3.7233333333333332</v>
      </c>
      <c r="F16" s="21">
        <f>AVERAGE(F10:F15)</f>
        <v>5.2683333333333335</v>
      </c>
      <c r="J16" s="1"/>
    </row>
    <row r="17" spans="1:10" ht="16.5" customHeight="1">
      <c r="A17" s="22" t="s">
        <v>16</v>
      </c>
      <c r="B17" s="23">
        <f>(STDEV(B10:B15)/B16)</f>
        <v>2.5685816935891227E-3</v>
      </c>
      <c r="C17" s="24"/>
      <c r="D17" s="24"/>
      <c r="E17" s="24"/>
      <c r="F17" s="25"/>
      <c r="J17" s="1"/>
    </row>
    <row r="18" spans="1:10" s="1" customFormat="1" ht="16.5" customHeight="1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>
      <c r="A19" s="6"/>
      <c r="B19" s="6"/>
      <c r="C19" s="6"/>
      <c r="D19" s="6"/>
      <c r="E19" s="6"/>
    </row>
    <row r="20" spans="1:10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10" ht="16.5" customHeight="1">
      <c r="A21" s="7"/>
      <c r="B21" s="31" t="s">
        <v>20</v>
      </c>
      <c r="C21" s="32"/>
      <c r="D21" s="32"/>
      <c r="E21" s="32"/>
    </row>
    <row r="22" spans="1:10" ht="16.5" customHeight="1">
      <c r="A22" s="7"/>
      <c r="B22" s="31" t="s">
        <v>21</v>
      </c>
      <c r="C22" s="32"/>
      <c r="D22" s="32"/>
      <c r="E22" s="32"/>
    </row>
    <row r="23" spans="1:10" s="1" customFormat="1" ht="15.75" customHeight="1">
      <c r="A23" s="6"/>
      <c r="B23" s="6" t="s">
        <v>132</v>
      </c>
      <c r="C23" s="6"/>
      <c r="D23" s="6"/>
      <c r="E23" s="6"/>
      <c r="J23" s="36"/>
    </row>
    <row r="24" spans="1:10" s="1" customFormat="1" ht="15.75" customHeight="1">
      <c r="A24" s="6"/>
      <c r="B24" s="6"/>
      <c r="C24" s="6"/>
      <c r="D24" s="6"/>
      <c r="E24" s="6"/>
      <c r="J24" s="36"/>
    </row>
    <row r="25" spans="1:10" s="1" customFormat="1" ht="16.5" customHeight="1">
      <c r="A25" s="2" t="s">
        <v>1</v>
      </c>
      <c r="B25" s="3" t="s">
        <v>22</v>
      </c>
      <c r="J25" s="36"/>
    </row>
    <row r="26" spans="1:10" s="1" customFormat="1" ht="16.5" customHeight="1">
      <c r="A26" s="7" t="s">
        <v>4</v>
      </c>
      <c r="B26" s="303" t="s">
        <v>130</v>
      </c>
      <c r="C26" s="6"/>
      <c r="D26" s="6"/>
      <c r="E26" s="6"/>
      <c r="J26" s="36"/>
    </row>
    <row r="27" spans="1:10" s="1" customFormat="1" ht="16.5" customHeight="1">
      <c r="A27" s="7" t="s">
        <v>6</v>
      </c>
      <c r="B27" s="304">
        <v>99</v>
      </c>
      <c r="C27" s="6"/>
      <c r="D27" s="6"/>
      <c r="E27" s="6"/>
      <c r="J27" s="36"/>
    </row>
    <row r="28" spans="1:10" s="1" customFormat="1" ht="16.5" customHeight="1">
      <c r="A28" s="4" t="s">
        <v>7</v>
      </c>
      <c r="B28" s="304">
        <v>29.76</v>
      </c>
      <c r="C28" s="6"/>
      <c r="D28" s="6"/>
      <c r="E28" s="6"/>
      <c r="J28" s="36"/>
    </row>
    <row r="29" spans="1:10" s="1" customFormat="1" ht="16.5" customHeight="1">
      <c r="A29" s="4" t="s">
        <v>8</v>
      </c>
      <c r="B29" s="305">
        <v>0.29759999999999998</v>
      </c>
      <c r="C29" s="6"/>
      <c r="D29" s="6"/>
      <c r="E29" s="6"/>
      <c r="J29" s="36"/>
    </row>
    <row r="30" spans="1:10" s="1" customFormat="1" ht="15.75" customHeight="1">
      <c r="A30" s="6"/>
      <c r="B30" s="6"/>
      <c r="C30" s="6"/>
      <c r="D30" s="6"/>
      <c r="E30" s="6"/>
      <c r="J30" s="36"/>
    </row>
    <row r="31" spans="1:10" s="1" customFormat="1" ht="16.5" customHeight="1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>
      <c r="A32" s="12">
        <v>1</v>
      </c>
      <c r="B32" s="306">
        <v>93717691</v>
      </c>
      <c r="C32" s="307">
        <v>6981.1</v>
      </c>
      <c r="D32" s="308">
        <v>1.1000000000000001</v>
      </c>
      <c r="E32" s="309">
        <v>4.5999999999999996</v>
      </c>
      <c r="J32" s="36"/>
    </row>
    <row r="33" spans="1:10" s="1" customFormat="1" ht="16.5" customHeight="1">
      <c r="A33" s="12">
        <v>2</v>
      </c>
      <c r="B33" s="306">
        <v>93372122</v>
      </c>
      <c r="C33" s="307">
        <v>7006.5</v>
      </c>
      <c r="D33" s="308">
        <v>1.1000000000000001</v>
      </c>
      <c r="E33" s="308">
        <v>4.5999999999999996</v>
      </c>
      <c r="J33" s="36"/>
    </row>
    <row r="34" spans="1:10" s="1" customFormat="1" ht="16.5" customHeight="1">
      <c r="A34" s="12">
        <v>3</v>
      </c>
      <c r="B34" s="306">
        <v>93381491</v>
      </c>
      <c r="C34" s="307">
        <v>7012.8</v>
      </c>
      <c r="D34" s="308">
        <v>1.1000000000000001</v>
      </c>
      <c r="E34" s="308">
        <v>4.5999999999999996</v>
      </c>
      <c r="J34" s="36"/>
    </row>
    <row r="35" spans="1:10" s="1" customFormat="1" ht="16.5" customHeight="1">
      <c r="A35" s="12">
        <v>4</v>
      </c>
      <c r="B35" s="306">
        <v>93338067</v>
      </c>
      <c r="C35" s="307">
        <v>7019.6</v>
      </c>
      <c r="D35" s="308">
        <v>1.1000000000000001</v>
      </c>
      <c r="E35" s="308">
        <v>4.5999999999999996</v>
      </c>
      <c r="J35" s="36"/>
    </row>
    <row r="36" spans="1:10" s="1" customFormat="1" ht="16.5" customHeight="1">
      <c r="A36" s="12">
        <v>5</v>
      </c>
      <c r="B36" s="306">
        <v>93532701</v>
      </c>
      <c r="C36" s="307">
        <v>7023.6</v>
      </c>
      <c r="D36" s="308">
        <v>1.1000000000000001</v>
      </c>
      <c r="E36" s="308">
        <v>4.5999999999999996</v>
      </c>
      <c r="J36" s="36"/>
    </row>
    <row r="37" spans="1:10" s="1" customFormat="1" ht="16.5" customHeight="1">
      <c r="A37" s="12">
        <v>6</v>
      </c>
      <c r="B37" s="310">
        <v>93566264</v>
      </c>
      <c r="C37" s="311">
        <v>7034.5</v>
      </c>
      <c r="D37" s="312">
        <v>1.1000000000000001</v>
      </c>
      <c r="E37" s="312">
        <v>4.5999999999999996</v>
      </c>
      <c r="J37" s="36"/>
    </row>
    <row r="38" spans="1:10" s="1" customFormat="1" ht="16.5" customHeight="1">
      <c r="A38" s="18" t="s">
        <v>15</v>
      </c>
      <c r="B38" s="19">
        <f>AVERAGE(B32:B37)</f>
        <v>93484722.666666672</v>
      </c>
      <c r="C38" s="20">
        <f>AVERAGE(C32:C37)</f>
        <v>7013.0166666666664</v>
      </c>
      <c r="D38" s="21">
        <f>AVERAGE(D32:D37)</f>
        <v>1.0999999999999999</v>
      </c>
      <c r="E38" s="21">
        <f>AVERAGE(E32:E37)</f>
        <v>4.6000000000000005</v>
      </c>
      <c r="J38" s="36"/>
    </row>
    <row r="39" spans="1:10" s="1" customFormat="1" ht="16.5" customHeight="1">
      <c r="A39" s="22" t="s">
        <v>16</v>
      </c>
      <c r="B39" s="23">
        <f>(STDEV(B32:B37)/B38)</f>
        <v>1.5726220793269357E-3</v>
      </c>
      <c r="C39" s="24"/>
      <c r="D39" s="24"/>
      <c r="E39" s="25"/>
      <c r="J39" s="36"/>
    </row>
    <row r="40" spans="1:10" s="1" customFormat="1" ht="16.5" customHeight="1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>
      <c r="A41" s="6"/>
      <c r="B41" s="6"/>
      <c r="C41" s="6"/>
      <c r="D41" s="6"/>
      <c r="E41" s="6"/>
    </row>
    <row r="42" spans="1:10" s="1" customFormat="1" ht="16.5" customHeight="1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>
      <c r="A45" s="33"/>
      <c r="B45" s="34"/>
      <c r="D45" s="35"/>
      <c r="F45" s="36"/>
      <c r="G45" s="36"/>
      <c r="J45" s="36"/>
    </row>
    <row r="46" spans="1:10" s="1" customFormat="1" ht="15" customHeight="1">
      <c r="B46" s="259" t="s">
        <v>23</v>
      </c>
      <c r="C46" s="259"/>
      <c r="E46" s="37" t="s">
        <v>24</v>
      </c>
      <c r="F46" s="38"/>
      <c r="G46" s="37" t="s">
        <v>25</v>
      </c>
      <c r="J46" s="36"/>
    </row>
    <row r="47" spans="1:10" s="1" customFormat="1" ht="15" customHeight="1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B32" sqref="B32:E37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>
      <c r="A1" s="258" t="s">
        <v>0</v>
      </c>
      <c r="B1" s="258"/>
      <c r="C1" s="258"/>
      <c r="D1" s="258"/>
      <c r="E1" s="258"/>
    </row>
    <row r="2" spans="1:10" ht="16.5" customHeight="1">
      <c r="A2" s="2" t="s">
        <v>1</v>
      </c>
      <c r="B2" s="3" t="s">
        <v>2</v>
      </c>
    </row>
    <row r="3" spans="1:10" ht="16.5" customHeight="1">
      <c r="A3" s="4" t="s">
        <v>3</v>
      </c>
      <c r="B3" s="4" t="s">
        <v>128</v>
      </c>
      <c r="D3" s="5"/>
      <c r="E3" s="6"/>
    </row>
    <row r="4" spans="1:10" ht="16.5" customHeight="1">
      <c r="A4" s="7" t="s">
        <v>4</v>
      </c>
      <c r="B4" s="4" t="s">
        <v>133</v>
      </c>
      <c r="C4" s="6"/>
      <c r="D4" s="6"/>
      <c r="E4" s="6"/>
    </row>
    <row r="5" spans="1:10" ht="16.5" customHeight="1">
      <c r="A5" s="7" t="s">
        <v>6</v>
      </c>
      <c r="B5" s="8">
        <v>99.8</v>
      </c>
      <c r="C5" s="6"/>
      <c r="D5" s="6"/>
      <c r="E5" s="6"/>
    </row>
    <row r="6" spans="1:10" ht="16.5" customHeight="1">
      <c r="A6" s="4" t="s">
        <v>7</v>
      </c>
      <c r="B6" s="8">
        <v>8.69</v>
      </c>
      <c r="C6" s="6"/>
      <c r="D6" s="6"/>
      <c r="E6" s="6"/>
    </row>
    <row r="7" spans="1:10" ht="16.5" customHeight="1">
      <c r="A7" s="4" t="s">
        <v>8</v>
      </c>
      <c r="B7" s="9">
        <f>B6/100</f>
        <v>8.6899999999999991E-2</v>
      </c>
      <c r="C7" s="6"/>
      <c r="D7" s="6"/>
      <c r="E7" s="6"/>
    </row>
    <row r="8" spans="1:10" ht="15.75" customHeight="1">
      <c r="A8" s="6"/>
      <c r="B8" s="6"/>
      <c r="C8" s="6"/>
      <c r="D8" s="6"/>
      <c r="E8" s="6"/>
    </row>
    <row r="9" spans="1:10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>
      <c r="A10" s="12">
        <v>1</v>
      </c>
      <c r="B10" s="13">
        <v>10970955</v>
      </c>
      <c r="C10" s="13">
        <v>6497.51</v>
      </c>
      <c r="D10" s="14">
        <v>1.05</v>
      </c>
      <c r="E10" s="15">
        <v>5.21</v>
      </c>
      <c r="F10" s="15">
        <v>6.76</v>
      </c>
      <c r="J10" s="1"/>
    </row>
    <row r="11" spans="1:10" ht="16.5" customHeight="1">
      <c r="A11" s="12">
        <v>2</v>
      </c>
      <c r="B11" s="13">
        <v>10962119</v>
      </c>
      <c r="C11" s="13">
        <v>6501.15</v>
      </c>
      <c r="D11" s="14">
        <v>1.06</v>
      </c>
      <c r="E11" s="14">
        <v>5.22</v>
      </c>
      <c r="F11" s="14">
        <v>6.76</v>
      </c>
      <c r="J11" s="1"/>
    </row>
    <row r="12" spans="1:10" ht="16.5" customHeight="1">
      <c r="A12" s="12">
        <v>3</v>
      </c>
      <c r="B12" s="13">
        <v>11011993</v>
      </c>
      <c r="C12" s="13">
        <v>6503.63</v>
      </c>
      <c r="D12" s="14">
        <v>1.06</v>
      </c>
      <c r="E12" s="14">
        <v>5.22</v>
      </c>
      <c r="F12" s="14">
        <v>6.76</v>
      </c>
      <c r="J12" s="1"/>
    </row>
    <row r="13" spans="1:10" ht="16.5" customHeight="1">
      <c r="A13" s="12">
        <v>4</v>
      </c>
      <c r="B13" s="13">
        <v>10950768</v>
      </c>
      <c r="C13" s="13">
        <v>6507.19</v>
      </c>
      <c r="D13" s="14">
        <v>1.07</v>
      </c>
      <c r="E13" s="14">
        <v>5.22</v>
      </c>
      <c r="F13" s="14">
        <v>6.76</v>
      </c>
      <c r="J13" s="1"/>
    </row>
    <row r="14" spans="1:10" ht="16.5" customHeight="1">
      <c r="A14" s="12">
        <v>5</v>
      </c>
      <c r="B14" s="13">
        <v>10993383</v>
      </c>
      <c r="C14" s="13">
        <v>6582.86</v>
      </c>
      <c r="D14" s="14">
        <v>1.08</v>
      </c>
      <c r="E14" s="14">
        <v>5.22</v>
      </c>
      <c r="F14" s="14">
        <v>6.76</v>
      </c>
      <c r="J14" s="1"/>
    </row>
    <row r="15" spans="1:10" ht="16.5" customHeight="1">
      <c r="A15" s="12">
        <v>6</v>
      </c>
      <c r="B15" s="16">
        <v>11025232</v>
      </c>
      <c r="C15" s="16">
        <v>6588.28</v>
      </c>
      <c r="D15" s="17">
        <v>1.08</v>
      </c>
      <c r="E15" s="17">
        <v>5.22</v>
      </c>
      <c r="F15" s="17">
        <v>6.76</v>
      </c>
      <c r="J15" s="1"/>
    </row>
    <row r="16" spans="1:10" ht="16.5" customHeight="1">
      <c r="A16" s="18" t="s">
        <v>15</v>
      </c>
      <c r="B16" s="19">
        <f>AVERAGE(B10:B15)</f>
        <v>10985741.666666666</v>
      </c>
      <c r="C16" s="20">
        <f>AVERAGE(C10:C15)</f>
        <v>6530.1033333333335</v>
      </c>
      <c r="D16" s="21">
        <f>AVERAGE(D10:D15)</f>
        <v>1.0666666666666667</v>
      </c>
      <c r="E16" s="21">
        <f>AVERAGE(E10:E15)</f>
        <v>5.2183333333333328</v>
      </c>
      <c r="F16" s="21">
        <f>AVERAGE(F10:F15)</f>
        <v>6.7599999999999989</v>
      </c>
      <c r="J16" s="1"/>
    </row>
    <row r="17" spans="1:10" ht="16.5" customHeight="1">
      <c r="A17" s="22" t="s">
        <v>16</v>
      </c>
      <c r="B17" s="23">
        <f>(STDEV(B10:B15)/B16)</f>
        <v>2.6715609896917668E-3</v>
      </c>
      <c r="C17" s="24"/>
      <c r="D17" s="24"/>
      <c r="E17" s="24"/>
      <c r="F17" s="25"/>
      <c r="J17" s="1"/>
    </row>
    <row r="18" spans="1:10" s="1" customFormat="1" ht="16.5" customHeight="1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>
      <c r="A19" s="6"/>
      <c r="B19" s="6"/>
      <c r="C19" s="6"/>
      <c r="D19" s="6"/>
      <c r="E19" s="6"/>
    </row>
    <row r="20" spans="1:10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10" ht="16.5" customHeight="1">
      <c r="A21" s="7"/>
      <c r="B21" s="31" t="s">
        <v>20</v>
      </c>
      <c r="C21" s="32"/>
      <c r="D21" s="32"/>
      <c r="E21" s="32"/>
    </row>
    <row r="22" spans="1:10" ht="16.5" customHeight="1">
      <c r="A22" s="7"/>
      <c r="B22" s="31" t="s">
        <v>21</v>
      </c>
      <c r="C22" s="32"/>
      <c r="D22" s="32"/>
      <c r="E22" s="32"/>
    </row>
    <row r="23" spans="1:10" s="1" customFormat="1" ht="15.75" customHeight="1">
      <c r="A23" s="6"/>
      <c r="B23" s="6" t="s">
        <v>134</v>
      </c>
      <c r="C23" s="6"/>
      <c r="D23" s="6"/>
      <c r="E23" s="6"/>
      <c r="J23" s="36"/>
    </row>
    <row r="24" spans="1:10" s="1" customFormat="1" ht="15.75" customHeight="1">
      <c r="A24" s="6"/>
      <c r="B24" s="6"/>
      <c r="C24" s="6"/>
      <c r="D24" s="6"/>
      <c r="E24" s="6"/>
      <c r="J24" s="36"/>
    </row>
    <row r="25" spans="1:10" s="1" customFormat="1" ht="16.5" customHeight="1">
      <c r="A25" s="2" t="s">
        <v>1</v>
      </c>
      <c r="B25" s="3" t="s">
        <v>22</v>
      </c>
      <c r="J25" s="36"/>
    </row>
    <row r="26" spans="1:10" s="1" customFormat="1" ht="16.5" customHeight="1">
      <c r="A26" s="7" t="s">
        <v>4</v>
      </c>
      <c r="B26" s="303" t="s">
        <v>133</v>
      </c>
      <c r="C26" s="6"/>
      <c r="D26" s="6"/>
      <c r="E26" s="6"/>
      <c r="J26" s="36"/>
    </row>
    <row r="27" spans="1:10" s="1" customFormat="1" ht="16.5" customHeight="1">
      <c r="A27" s="7" t="s">
        <v>6</v>
      </c>
      <c r="B27" s="304">
        <v>101.38</v>
      </c>
      <c r="C27" s="6"/>
      <c r="D27" s="6"/>
      <c r="E27" s="6"/>
      <c r="J27" s="36"/>
    </row>
    <row r="28" spans="1:10" s="1" customFormat="1" ht="16.5" customHeight="1">
      <c r="A28" s="4" t="s">
        <v>7</v>
      </c>
      <c r="B28" s="304">
        <v>19.97</v>
      </c>
      <c r="C28" s="6"/>
      <c r="D28" s="6"/>
      <c r="E28" s="6"/>
      <c r="J28" s="36"/>
    </row>
    <row r="29" spans="1:10" s="1" customFormat="1" ht="16.5" customHeight="1">
      <c r="A29" s="4" t="s">
        <v>8</v>
      </c>
      <c r="B29" s="305">
        <v>0.19969999999999999</v>
      </c>
      <c r="C29" s="6"/>
      <c r="D29" s="6"/>
      <c r="E29" s="6"/>
      <c r="J29" s="36"/>
    </row>
    <row r="30" spans="1:10" s="1" customFormat="1" ht="15.75" customHeight="1">
      <c r="A30" s="6"/>
      <c r="B30" s="6"/>
      <c r="C30" s="6"/>
      <c r="D30" s="6"/>
      <c r="E30" s="6"/>
      <c r="J30" s="36"/>
    </row>
    <row r="31" spans="1:10" s="1" customFormat="1" ht="16.5" customHeight="1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>
      <c r="A32" s="12">
        <v>1</v>
      </c>
      <c r="B32" s="306">
        <v>47447554</v>
      </c>
      <c r="C32" s="307">
        <v>6969.3</v>
      </c>
      <c r="D32" s="308">
        <v>1.1000000000000001</v>
      </c>
      <c r="E32" s="309">
        <v>8.6</v>
      </c>
      <c r="J32" s="36"/>
    </row>
    <row r="33" spans="1:10" s="1" customFormat="1" ht="16.5" customHeight="1">
      <c r="A33" s="12">
        <v>2</v>
      </c>
      <c r="B33" s="306">
        <v>47268146</v>
      </c>
      <c r="C33" s="307">
        <v>6949.5</v>
      </c>
      <c r="D33" s="308">
        <v>1.1000000000000001</v>
      </c>
      <c r="E33" s="308">
        <v>8.5</v>
      </c>
      <c r="J33" s="36"/>
    </row>
    <row r="34" spans="1:10" s="1" customFormat="1" ht="16.5" customHeight="1">
      <c r="A34" s="12">
        <v>3</v>
      </c>
      <c r="B34" s="306">
        <v>47287591</v>
      </c>
      <c r="C34" s="307">
        <v>6961.3</v>
      </c>
      <c r="D34" s="308">
        <v>1.1000000000000001</v>
      </c>
      <c r="E34" s="308">
        <v>8.5</v>
      </c>
      <c r="J34" s="36"/>
    </row>
    <row r="35" spans="1:10" s="1" customFormat="1" ht="16.5" customHeight="1">
      <c r="A35" s="12">
        <v>4</v>
      </c>
      <c r="B35" s="306">
        <v>47259989</v>
      </c>
      <c r="C35" s="307">
        <v>6979.9</v>
      </c>
      <c r="D35" s="308">
        <v>1.1000000000000001</v>
      </c>
      <c r="E35" s="308">
        <v>8.5</v>
      </c>
      <c r="J35" s="36"/>
    </row>
    <row r="36" spans="1:10" s="1" customFormat="1" ht="16.5" customHeight="1">
      <c r="A36" s="12">
        <v>5</v>
      </c>
      <c r="B36" s="306">
        <v>47385004</v>
      </c>
      <c r="C36" s="307">
        <v>6990.7</v>
      </c>
      <c r="D36" s="308">
        <v>1.1000000000000001</v>
      </c>
      <c r="E36" s="308">
        <v>8.5</v>
      </c>
      <c r="J36" s="36"/>
    </row>
    <row r="37" spans="1:10" s="1" customFormat="1" ht="16.5" customHeight="1">
      <c r="A37" s="12">
        <v>6</v>
      </c>
      <c r="B37" s="310">
        <v>47399219</v>
      </c>
      <c r="C37" s="311">
        <v>6972.6</v>
      </c>
      <c r="D37" s="312">
        <v>1.1000000000000001</v>
      </c>
      <c r="E37" s="312">
        <v>8.5</v>
      </c>
      <c r="J37" s="36"/>
    </row>
    <row r="38" spans="1:10" s="1" customFormat="1" ht="16.5" customHeight="1">
      <c r="A38" s="18" t="s">
        <v>15</v>
      </c>
      <c r="B38" s="19">
        <f>AVERAGE(B32:B37)</f>
        <v>47341250.5</v>
      </c>
      <c r="C38" s="20">
        <f>AVERAGE(C32:C37)</f>
        <v>6970.5499999999993</v>
      </c>
      <c r="D38" s="21">
        <f>AVERAGE(D32:D37)</f>
        <v>1.0999999999999999</v>
      </c>
      <c r="E38" s="21">
        <f>AVERAGE(E32:E37)</f>
        <v>8.5166666666666675</v>
      </c>
      <c r="J38" s="36"/>
    </row>
    <row r="39" spans="1:10" s="1" customFormat="1" ht="16.5" customHeight="1">
      <c r="A39" s="22" t="s">
        <v>16</v>
      </c>
      <c r="B39" s="23">
        <f>(STDEV(B32:B37)/B38)</f>
        <v>1.6739992093743501E-3</v>
      </c>
      <c r="C39" s="24"/>
      <c r="D39" s="24"/>
      <c r="E39" s="25"/>
      <c r="J39" s="36"/>
    </row>
    <row r="40" spans="1:10" s="1" customFormat="1" ht="16.5" customHeight="1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>
      <c r="A41" s="6"/>
      <c r="B41" s="6"/>
      <c r="C41" s="6"/>
      <c r="D41" s="6"/>
      <c r="E41" s="6"/>
    </row>
    <row r="42" spans="1:10" s="1" customFormat="1" ht="16.5" customHeight="1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>
      <c r="A45" s="33"/>
      <c r="B45" s="34"/>
      <c r="D45" s="35"/>
      <c r="F45" s="36"/>
      <c r="G45" s="36"/>
      <c r="J45" s="36"/>
    </row>
    <row r="46" spans="1:10" s="1" customFormat="1" ht="15" customHeight="1">
      <c r="B46" s="259" t="s">
        <v>23</v>
      </c>
      <c r="C46" s="259"/>
      <c r="E46" s="37" t="s">
        <v>24</v>
      </c>
      <c r="F46" s="38"/>
      <c r="G46" s="37" t="s">
        <v>25</v>
      </c>
      <c r="J46" s="36"/>
    </row>
    <row r="47" spans="1:10" s="1" customFormat="1" ht="15" customHeight="1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9" zoomScale="40" zoomScaleNormal="60" zoomScaleSheetLayoutView="40" zoomScalePageLayoutView="55" workbookViewId="0">
      <selection activeCell="B24" sqref="B24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69" t="s">
        <v>5</v>
      </c>
      <c r="C18" s="269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56" t="s">
        <v>140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1" t="s">
        <v>9</v>
      </c>
      <c r="C21" s="271"/>
      <c r="D21" s="271"/>
      <c r="E21" s="271"/>
      <c r="F21" s="271"/>
      <c r="G21" s="271"/>
      <c r="H21" s="271"/>
      <c r="I21" s="50"/>
    </row>
    <row r="22" spans="1:14" ht="26.25" customHeight="1">
      <c r="A22" s="45" t="s">
        <v>34</v>
      </c>
      <c r="B22" s="51"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129</v>
      </c>
      <c r="C26" s="272"/>
    </row>
    <row r="27" spans="1:14" ht="26.25" customHeight="1">
      <c r="A27" s="55" t="s">
        <v>45</v>
      </c>
      <c r="B27" s="273" t="s">
        <v>136</v>
      </c>
      <c r="C27" s="273"/>
    </row>
    <row r="28" spans="1:14" ht="27" customHeight="1" thickBot="1">
      <c r="A28" s="55" t="s">
        <v>6</v>
      </c>
      <c r="B28" s="57">
        <v>99.3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32508376</v>
      </c>
      <c r="E38" s="80">
        <f>IF(ISBLANK(D38),"-",$D$48/$D$45*D38)</f>
        <v>30200681.523431547</v>
      </c>
      <c r="F38" s="79">
        <v>36080426</v>
      </c>
      <c r="G38" s="81">
        <f>IF(ISBLANK(F38),"-",$D$48/$F$45*F38)</f>
        <v>29946238.504697718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32501130</v>
      </c>
      <c r="E39" s="85">
        <f>IF(ISBLANK(D39),"-",$D$48/$D$45*D39)</f>
        <v>30193949.900224075</v>
      </c>
      <c r="F39" s="84">
        <v>36380270</v>
      </c>
      <c r="G39" s="86">
        <f>IF(ISBLANK(F39),"-",$D$48/$F$45*F39)</f>
        <v>30195104.744198401</v>
      </c>
      <c r="I39" s="281">
        <f>ABS((F43/D43*D42)-F42)/D42</f>
        <v>7.1423936731146867E-3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32755274</v>
      </c>
      <c r="E40" s="85">
        <f>IF(ISBLANK(D40),"-",$D$48/$D$45*D40)</f>
        <v>30430052.805059772</v>
      </c>
      <c r="F40" s="84">
        <v>36270242</v>
      </c>
      <c r="G40" s="86">
        <f>IF(ISBLANK(F40),"-",$D$48/$F$45*F40)</f>
        <v>30103783.074931111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32588260</v>
      </c>
      <c r="E42" s="94">
        <f>AVERAGE(E38:E41)</f>
        <v>30274894.742905129</v>
      </c>
      <c r="F42" s="93">
        <f>AVERAGE(F38:F41)</f>
        <v>36243646</v>
      </c>
      <c r="G42" s="95">
        <f>AVERAGE(G38:G41)</f>
        <v>30081708.774609078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16.260000000000002</v>
      </c>
      <c r="E43" s="44"/>
      <c r="F43" s="97">
        <v>18.2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16.260000000000002</v>
      </c>
      <c r="E44" s="100"/>
      <c r="F44" s="99">
        <f>F43*$B$34</f>
        <v>18.2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16.146180000000001</v>
      </c>
      <c r="E45" s="102"/>
      <c r="F45" s="101">
        <f>F44*$B$30/100</f>
        <v>18.072600000000001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0.16146180000000002</v>
      </c>
      <c r="E46" s="104"/>
      <c r="F46" s="105">
        <f>F45/$B$45</f>
        <v>0.18072600000000003</v>
      </c>
      <c r="H46" s="34"/>
    </row>
    <row r="47" spans="1:14" ht="27" customHeight="1" thickBot="1">
      <c r="A47" s="284"/>
      <c r="B47" s="285"/>
      <c r="C47" s="106" t="s">
        <v>77</v>
      </c>
      <c r="D47" s="107">
        <v>0.15</v>
      </c>
      <c r="E47" s="108"/>
      <c r="F47" s="104"/>
      <c r="H47" s="34"/>
    </row>
    <row r="48" spans="1:14" ht="18.75">
      <c r="C48" s="109" t="s">
        <v>78</v>
      </c>
      <c r="D48" s="101">
        <f>D47*$B$45</f>
        <v>15</v>
      </c>
      <c r="F48" s="110"/>
      <c r="H48" s="34"/>
    </row>
    <row r="49" spans="1:12" ht="19.5" customHeight="1" thickBot="1">
      <c r="C49" s="111" t="s">
        <v>79</v>
      </c>
      <c r="D49" s="112">
        <f>D48/B34</f>
        <v>15</v>
      </c>
      <c r="F49" s="110"/>
      <c r="H49" s="34"/>
    </row>
    <row r="50" spans="1:12" ht="18.75">
      <c r="C50" s="69" t="s">
        <v>80</v>
      </c>
      <c r="D50" s="113">
        <f>AVERAGE(E38:E41,G38:G41)</f>
        <v>30178301.758757103</v>
      </c>
      <c r="F50" s="114"/>
      <c r="H50" s="34"/>
    </row>
    <row r="51" spans="1:12" ht="18.75">
      <c r="C51" s="71" t="s">
        <v>81</v>
      </c>
      <c r="D51" s="115">
        <f>STDEV(E38:E41,G38:G41)/D50</f>
        <v>5.2143885254421546E-3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150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Uniformity!C46</f>
        <v>1225.2680952380947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v>1220.2</v>
      </c>
      <c r="E60" s="125">
        <v>1</v>
      </c>
      <c r="F60" s="126">
        <v>29629322</v>
      </c>
      <c r="G60" s="127">
        <f>IF(ISBLANK(F60),"-",(F60/$D$50*$D$47*$B$68)*($B$57/$D$60))</f>
        <v>147.88300959148043</v>
      </c>
      <c r="H60" s="128">
        <f t="shared" ref="H60:H71" si="0">IF(ISBLANK(F60),"-",(G60/$B$56)*100)</f>
        <v>98.588673060986949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>
        <v>30093378</v>
      </c>
      <c r="G61" s="130">
        <f>IF(ISBLANK(F61),"-",(F61/$D$50*$D$47*$B$68)*($B$57/$D$60))</f>
        <v>150.19916106801384</v>
      </c>
      <c r="H61" s="131">
        <f t="shared" si="0"/>
        <v>100.13277404534256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>
        <v>30047439</v>
      </c>
      <c r="G62" s="130">
        <f>IF(ISBLANK(F62),"-",(F62/$D$50*$D$47*$B$68)*($B$57/$D$60))</f>
        <v>149.96987476920404</v>
      </c>
      <c r="H62" s="131">
        <f t="shared" si="0"/>
        <v>99.979916512802689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v>1221.6600000000001</v>
      </c>
      <c r="E64" s="125">
        <v>1</v>
      </c>
      <c r="F64" s="126">
        <v>30713223</v>
      </c>
      <c r="G64" s="127">
        <f>IF(ISBLANK(F64),"-",(F64/$D$50*$D$47*$B$68)*($B$57/$D$64))</f>
        <v>153.10967197644067</v>
      </c>
      <c r="H64" s="128">
        <f t="shared" si="0"/>
        <v>102.07311465096045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31074820</v>
      </c>
      <c r="G65" s="130">
        <f>IF(ISBLANK(F65),"-",(F65/$D$50*$D$47*$B$68)*($B$57/$D$64))</f>
        <v>154.91228312075674</v>
      </c>
      <c r="H65" s="131">
        <f t="shared" si="0"/>
        <v>103.27485541383783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30905949</v>
      </c>
      <c r="G66" s="130">
        <f>IF(ISBLANK(F66),"-",(F66/$D$50*$D$47*$B$68)*($B$57/$D$64))</f>
        <v>154.07043778865554</v>
      </c>
      <c r="H66" s="131">
        <f t="shared" si="0"/>
        <v>102.71362519243704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v>1259</v>
      </c>
      <c r="E68" s="125">
        <v>1</v>
      </c>
      <c r="F68" s="126">
        <v>31390822</v>
      </c>
      <c r="G68" s="127">
        <f>IF(ISBLANK(F68),"-",(F68/$D$50*$D$47*$B$68)*($B$57/$D$68))</f>
        <v>151.84641588222513</v>
      </c>
      <c r="H68" s="131">
        <f t="shared" si="0"/>
        <v>101.23094392148342</v>
      </c>
    </row>
    <row r="69" spans="1:8" ht="27" customHeight="1" thickBot="1">
      <c r="A69" s="116" t="s">
        <v>102</v>
      </c>
      <c r="B69" s="138">
        <f>(D47*B68)/B56*B57</f>
        <v>1225.2680952380947</v>
      </c>
      <c r="C69" s="287"/>
      <c r="D69" s="290"/>
      <c r="E69" s="129">
        <v>2</v>
      </c>
      <c r="F69" s="84">
        <v>31480538</v>
      </c>
      <c r="G69" s="130">
        <f>IF(ISBLANK(F69),"-",(F69/$D$50*$D$47*$B$68)*($B$57/$D$68))</f>
        <v>152.28039792472435</v>
      </c>
      <c r="H69" s="131">
        <f t="shared" si="0"/>
        <v>101.52026528314957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31455501</v>
      </c>
      <c r="G70" s="130">
        <f>IF(ISBLANK(F70),"-",(F70/$D$50*$D$47*$B$68)*($B$57/$D$68))</f>
        <v>152.15928676954519</v>
      </c>
      <c r="H70" s="131">
        <f t="shared" si="0"/>
        <v>101.43952451303014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151.82561543233842</v>
      </c>
      <c r="H72" s="141">
        <f>AVERAGE(H60:H71)</f>
        <v>101.21707695489231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1.4386538213862555E-2</v>
      </c>
      <c r="H73" s="143">
        <f>STDEV(H60:H71)/H72</f>
        <v>1.4386538213857067E-2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9</v>
      </c>
      <c r="H74" s="145">
        <f>COUNT(H60:H71)</f>
        <v>9</v>
      </c>
    </row>
    <row r="76" spans="1:8" ht="26.25" customHeight="1">
      <c r="A76" s="54" t="s">
        <v>103</v>
      </c>
      <c r="B76" s="55" t="s">
        <v>104</v>
      </c>
      <c r="C76" s="277" t="str">
        <f>B26</f>
        <v>Lamivudine</v>
      </c>
      <c r="D76" s="277"/>
      <c r="E76" s="44" t="s">
        <v>105</v>
      </c>
      <c r="F76" s="44"/>
      <c r="G76" s="146">
        <f>H72</f>
        <v>101.21707695489231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Lamivudine</v>
      </c>
      <c r="C79" s="298"/>
    </row>
    <row r="80" spans="1:8" ht="26.25" customHeight="1">
      <c r="A80" s="55" t="s">
        <v>45</v>
      </c>
      <c r="B80" s="313" t="s">
        <v>144</v>
      </c>
      <c r="C80" s="313"/>
    </row>
    <row r="81" spans="1:12" ht="27" customHeight="1" thickBot="1">
      <c r="A81" s="55" t="s">
        <v>6</v>
      </c>
      <c r="B81" s="314">
        <v>99.39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99.39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117459841</v>
      </c>
      <c r="E91" s="80">
        <f>IF(ISBLANK(D91),"-",$D$101/$D$98*D91)</f>
        <v>61842356.638182588</v>
      </c>
      <c r="F91" s="315">
        <v>111926925</v>
      </c>
      <c r="G91" s="81">
        <f>IF(ISBLANK(F91),"-",$D$101/$F$98*F91)</f>
        <v>61841773.533546396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117508526</v>
      </c>
      <c r="E92" s="85">
        <f>IF(ISBLANK(D92),"-",$D$101/$D$98*D92)</f>
        <v>61867989.187207833</v>
      </c>
      <c r="F92" s="316">
        <v>112050280</v>
      </c>
      <c r="G92" s="86">
        <f>IF(ISBLANK(F92),"-",$D$101/$F$98*F92)</f>
        <v>61909929.53778068</v>
      </c>
      <c r="I92" s="281">
        <f>ABS((F96/D96*D95)-F95)/D95</f>
        <v>9.5033263047531271E-4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118088512</v>
      </c>
      <c r="E93" s="85">
        <f>IF(ISBLANK(D93),"-",$D$101/$D$98*D93)</f>
        <v>62173350.583509684</v>
      </c>
      <c r="F93" s="316">
        <v>112116670</v>
      </c>
      <c r="G93" s="86">
        <f>IF(ISBLANK(F93),"-",$D$101/$F$98*F93)</f>
        <v>61946611.286563575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117685626.33333333</v>
      </c>
      <c r="E95" s="94">
        <f>AVERAGE(E91:E94)</f>
        <v>61961232.136300035</v>
      </c>
      <c r="F95" s="154">
        <f>AVERAGE(F91:F94)</f>
        <v>112031291.66666667</v>
      </c>
      <c r="G95" s="155">
        <f>AVERAGE(G91:G94)</f>
        <v>61899438.119296886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31.85</v>
      </c>
      <c r="E96" s="44"/>
      <c r="F96" s="97">
        <v>30.35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31.85</v>
      </c>
      <c r="E97" s="100"/>
      <c r="F97" s="99">
        <f>F96*$B$87</f>
        <v>30.35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31.655715000000001</v>
      </c>
      <c r="E98" s="102"/>
      <c r="F98" s="101">
        <f>F97*$B$83/100</f>
        <v>30.164864999999999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0.31655715000000001</v>
      </c>
      <c r="E99" s="102"/>
      <c r="F99" s="105">
        <f>F98/$B$98</f>
        <v>0.30164864999999996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0.16666666666666666</v>
      </c>
      <c r="F100" s="110"/>
      <c r="G100" s="163"/>
      <c r="H100" s="34"/>
    </row>
    <row r="101" spans="1:10" ht="18.75">
      <c r="C101" s="158" t="s">
        <v>78</v>
      </c>
      <c r="D101" s="159">
        <f>D100*$B$98</f>
        <v>16.666666666666664</v>
      </c>
      <c r="F101" s="110"/>
      <c r="H101" s="34"/>
    </row>
    <row r="102" spans="1:10" ht="19.5" customHeight="1" thickBot="1">
      <c r="C102" s="164" t="s">
        <v>79</v>
      </c>
      <c r="D102" s="165">
        <f>D101/B34</f>
        <v>16.666666666666664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61930335.12779846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2.032341287133151E-3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60359651</v>
      </c>
      <c r="E108" s="174">
        <f t="shared" ref="E108:E113" si="1">IF(ISBLANK(D108),"-",D108/$D$103*$D$100*$B$116)</f>
        <v>146.19568312227628</v>
      </c>
      <c r="F108" s="175">
        <f t="shared" ref="F108:F113" si="2">IF(ISBLANK(D108), "-", (E108/$B$56)*100)</f>
        <v>97.463788748184186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59774303</v>
      </c>
      <c r="E109" s="177">
        <f t="shared" si="1"/>
        <v>144.77792557552939</v>
      </c>
      <c r="F109" s="178">
        <f t="shared" si="2"/>
        <v>96.51861705035293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60143697</v>
      </c>
      <c r="E110" s="177">
        <f t="shared" si="1"/>
        <v>145.67262604639976</v>
      </c>
      <c r="F110" s="178">
        <f t="shared" si="2"/>
        <v>97.115084030933176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59028145</v>
      </c>
      <c r="E111" s="177">
        <f t="shared" si="1"/>
        <v>142.9706739310964</v>
      </c>
      <c r="F111" s="178">
        <f t="shared" si="2"/>
        <v>95.313782620730933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59647740</v>
      </c>
      <c r="E112" s="177">
        <f t="shared" si="1"/>
        <v>144.47138032656824</v>
      </c>
      <c r="F112" s="178">
        <f t="shared" si="2"/>
        <v>96.314253551045496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60019641</v>
      </c>
      <c r="E113" s="180">
        <f t="shared" si="1"/>
        <v>145.37215294284556</v>
      </c>
      <c r="F113" s="181">
        <f t="shared" si="2"/>
        <v>96.914768628563706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144.91007365745261</v>
      </c>
      <c r="F115" s="185">
        <f>AVERAGE(F108:F113)</f>
        <v>96.606715771635081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7.8189687595585488E-3</v>
      </c>
      <c r="F116" s="188">
        <f>STDEV(F108:F113)/F115</f>
        <v>7.8189687595463624E-3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142.9706739310964</v>
      </c>
      <c r="F119" s="195">
        <f>MIN(F108:F113)</f>
        <v>95.313782620730933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146.19568312227628</v>
      </c>
      <c r="F120" s="197">
        <f>MAX(F108:F113)</f>
        <v>97.463788748184186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Lamivudine</v>
      </c>
      <c r="D124" s="277"/>
      <c r="E124" s="44" t="s">
        <v>124</v>
      </c>
      <c r="F124" s="44"/>
      <c r="G124" s="198">
        <f>F115</f>
        <v>96.606715771635081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95.313782620730933</v>
      </c>
      <c r="E125" s="55" t="s">
        <v>127</v>
      </c>
      <c r="F125" s="198">
        <f>MAX(F108:F113)</f>
        <v>97.463788748184186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9" operator="greaterThan">
      <formula>0.02</formula>
    </cfRule>
  </conditionalFormatting>
  <conditionalFormatting sqref="D51">
    <cfRule type="cellIs" dxfId="25" priority="8" operator="greaterThan">
      <formula>0.02</formula>
    </cfRule>
  </conditionalFormatting>
  <conditionalFormatting sqref="G73">
    <cfRule type="cellIs" dxfId="24" priority="7" operator="greaterThan">
      <formula>0.02</formula>
    </cfRule>
  </conditionalFormatting>
  <conditionalFormatting sqref="H73">
    <cfRule type="cellIs" dxfId="23" priority="6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4" operator="lessThanOrEqual">
      <formula>0.02</formula>
    </cfRule>
  </conditionalFormatting>
  <conditionalFormatting sqref="I39">
    <cfRule type="cellIs" dxfId="20" priority="3" operator="greaterThan">
      <formula>0.02</formula>
    </cfRule>
  </conditionalFormatting>
  <conditionalFormatting sqref="I92">
    <cfRule type="cellIs" dxfId="19" priority="2" operator="lessThanOrEqual">
      <formula>0.02</formula>
    </cfRule>
  </conditionalFormatting>
  <conditionalFormatting sqref="I92">
    <cfRule type="cellIs" dxfId="18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40" zoomScaleNormal="60" zoomScaleSheetLayoutView="40" zoomScalePageLayoutView="55" workbookViewId="0">
      <selection activeCell="C116" sqref="C116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72" t="str">
        <f>Lamivudine!B18</f>
        <v>LAMIVUDINE, NEVIRAPINE AND ZIDOVUDINE TABLETS</v>
      </c>
      <c r="C18" s="272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49" t="str">
        <f>Lamivudine!B19</f>
        <v>NDQB201610187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0" t="str">
        <f>Lamivudine!B21</f>
        <v xml:space="preserve">Each film coated tablet contains Lamivudine 150mg Zidovudine 300mg Nevirapine 200mg </v>
      </c>
      <c r="C21" s="270"/>
      <c r="D21" s="270"/>
      <c r="E21" s="270"/>
      <c r="F21" s="270"/>
      <c r="G21" s="270"/>
      <c r="H21" s="270"/>
      <c r="I21" s="50"/>
    </row>
    <row r="22" spans="1:14" ht="26.25" customHeight="1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130</v>
      </c>
      <c r="C26" s="272"/>
    </row>
    <row r="27" spans="1:14" ht="26.25" customHeight="1">
      <c r="A27" s="55" t="s">
        <v>45</v>
      </c>
      <c r="B27" s="273" t="s">
        <v>137</v>
      </c>
      <c r="C27" s="273"/>
    </row>
    <row r="28" spans="1:14" ht="27" customHeight="1" thickBot="1">
      <c r="A28" s="55" t="s">
        <v>6</v>
      </c>
      <c r="B28" s="57">
        <v>99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49295769</v>
      </c>
      <c r="E38" s="80">
        <f>IF(ISBLANK(D38),"-",$D$48/$D$45*D38)</f>
        <v>53160540.278227113</v>
      </c>
      <c r="F38" s="79">
        <v>46732666</v>
      </c>
      <c r="G38" s="81">
        <f>IF(ISBLANK(F38),"-",$D$48/$F$45*F38)</f>
        <v>52999303.665396482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49283380</v>
      </c>
      <c r="E39" s="85">
        <f>IF(ISBLANK(D39),"-",$D$48/$D$45*D39)</f>
        <v>53147179.984902404</v>
      </c>
      <c r="F39" s="84">
        <v>47115358</v>
      </c>
      <c r="G39" s="86">
        <f>IF(ISBLANK(F39),"-",$D$48/$F$45*F39)</f>
        <v>53433312.919615321</v>
      </c>
      <c r="I39" s="281">
        <f>ABS((F43/D43*D42)-F42)/D42</f>
        <v>1.0391800548410974E-3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49686735</v>
      </c>
      <c r="E40" s="85">
        <f>IF(ISBLANK(D40),"-",$D$48/$D$45*D40)</f>
        <v>53582157.877709478</v>
      </c>
      <c r="F40" s="84">
        <v>46982400</v>
      </c>
      <c r="G40" s="86">
        <f>IF(ISBLANK(F40),"-",$D$48/$F$45*F40)</f>
        <v>53282525.857376158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49421961.333333336</v>
      </c>
      <c r="E42" s="94">
        <f>AVERAGE(E38:E41)</f>
        <v>53296626.046946324</v>
      </c>
      <c r="F42" s="93">
        <f>AVERAGE(F38:F41)</f>
        <v>46943474.666666664</v>
      </c>
      <c r="G42" s="95">
        <f>AVERAGE(G38:G41)</f>
        <v>53238380.814129323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28.1</v>
      </c>
      <c r="E43" s="44"/>
      <c r="F43" s="97">
        <v>26.72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28.1</v>
      </c>
      <c r="E44" s="100"/>
      <c r="F44" s="99">
        <f>F43*$B$34</f>
        <v>26.72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27.819000000000003</v>
      </c>
      <c r="E45" s="102"/>
      <c r="F45" s="101">
        <f>F44*$B$30/100</f>
        <v>26.452799999999996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0.27819000000000005</v>
      </c>
      <c r="E46" s="104"/>
      <c r="F46" s="105">
        <f>F45/$B$45</f>
        <v>0.26452799999999999</v>
      </c>
      <c r="H46" s="34"/>
    </row>
    <row r="47" spans="1:14" ht="27" customHeight="1" thickBot="1">
      <c r="A47" s="284"/>
      <c r="B47" s="285"/>
      <c r="C47" s="106" t="s">
        <v>77</v>
      </c>
      <c r="D47" s="107">
        <v>0.3</v>
      </c>
      <c r="E47" s="108"/>
      <c r="F47" s="104"/>
      <c r="H47" s="34"/>
    </row>
    <row r="48" spans="1:14" ht="18.75">
      <c r="C48" s="109" t="s">
        <v>78</v>
      </c>
      <c r="D48" s="101">
        <f>D47*$B$45</f>
        <v>30</v>
      </c>
      <c r="F48" s="110"/>
      <c r="H48" s="34"/>
    </row>
    <row r="49" spans="1:12" ht="19.5" customHeight="1" thickBot="1">
      <c r="C49" s="111" t="s">
        <v>79</v>
      </c>
      <c r="D49" s="112">
        <f>D48/B34</f>
        <v>30</v>
      </c>
      <c r="F49" s="110"/>
      <c r="H49" s="34"/>
    </row>
    <row r="50" spans="1:12" ht="18.75">
      <c r="C50" s="69" t="s">
        <v>80</v>
      </c>
      <c r="D50" s="113">
        <f>AVERAGE(E38:E41,G38:G41)</f>
        <v>53267503.43053782</v>
      </c>
      <c r="F50" s="114"/>
      <c r="H50" s="34"/>
    </row>
    <row r="51" spans="1:12" ht="18.75">
      <c r="C51" s="71" t="s">
        <v>81</v>
      </c>
      <c r="D51" s="115">
        <f>STDEV(E38:E41,G38:G41)/D50</f>
        <v>3.9786356914137339E-3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300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Lamivudine!B57</f>
        <v>1225.2680952380947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f>Lamivudine!D60</f>
        <v>1220.2</v>
      </c>
      <c r="E60" s="125">
        <v>1</v>
      </c>
      <c r="F60" s="126"/>
      <c r="G60" s="127" t="str">
        <f>IF(ISBLANK(F60),"-",(F60/$D$50*$D$47*$B$68)*($B$57/$D$60))</f>
        <v>-</v>
      </c>
      <c r="H60" s="128" t="str">
        <f t="shared" ref="H60:H71" si="0">IF(ISBLANK(F60),"-",(G60/$B$56)*100)</f>
        <v>-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/>
      <c r="G61" s="130" t="str">
        <f>IF(ISBLANK(F61),"-",(F61/$D$50*$D$47*$B$68)*($B$57/$D$60))</f>
        <v>-</v>
      </c>
      <c r="H61" s="131" t="str">
        <f t="shared" si="0"/>
        <v>-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/>
      <c r="G62" s="130" t="str">
        <f>IF(ISBLANK(F62),"-",(F62/$D$50*$D$47*$B$68)*($B$57/$D$60))</f>
        <v>-</v>
      </c>
      <c r="H62" s="131" t="str">
        <f t="shared" si="0"/>
        <v>-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f>Lamivudine!D64</f>
        <v>1221.6600000000001</v>
      </c>
      <c r="E64" s="125">
        <v>1</v>
      </c>
      <c r="F64" s="126">
        <v>55828354</v>
      </c>
      <c r="G64" s="127">
        <f>IF(ISBLANK(F64),"-",(F64/$D$50*$D$47*$B$68)*($B$57/$D$64))</f>
        <v>315.35121354963786</v>
      </c>
      <c r="H64" s="128">
        <f t="shared" si="0"/>
        <v>105.11707118321263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56491300</v>
      </c>
      <c r="G65" s="130">
        <f>IF(ISBLANK(F65),"-",(F65/$D$50*$D$47*$B$68)*($B$57/$D$64))</f>
        <v>319.09592050657022</v>
      </c>
      <c r="H65" s="131">
        <f t="shared" si="0"/>
        <v>106.36530683552341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56197856</v>
      </c>
      <c r="G66" s="130">
        <f>IF(ISBLANK(F66),"-",(F66/$D$50*$D$47*$B$68)*($B$57/$D$64))</f>
        <v>317.43837707426945</v>
      </c>
      <c r="H66" s="131">
        <f t="shared" si="0"/>
        <v>105.81279235808982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f>Lamivudine!D68</f>
        <v>1259</v>
      </c>
      <c r="E68" s="125">
        <v>1</v>
      </c>
      <c r="F68" s="126">
        <v>57123225</v>
      </c>
      <c r="G68" s="127">
        <f>IF(ISBLANK(F68),"-",(F68/$D$50*$D$47*$B$68)*($B$57/$D$68))</f>
        <v>313.0956440550799</v>
      </c>
      <c r="H68" s="131">
        <f t="shared" si="0"/>
        <v>104.36521468502664</v>
      </c>
    </row>
    <row r="69" spans="1:8" ht="27" customHeight="1" thickBot="1">
      <c r="A69" s="116" t="s">
        <v>102</v>
      </c>
      <c r="B69" s="138">
        <f>(D47*B68)/B56*B57</f>
        <v>1225.2680952380947</v>
      </c>
      <c r="C69" s="287"/>
      <c r="D69" s="290"/>
      <c r="E69" s="129">
        <v>2</v>
      </c>
      <c r="F69" s="84">
        <v>57314074</v>
      </c>
      <c r="G69" s="130">
        <f>IF(ISBLANK(F69),"-",(F69/$D$50*$D$47*$B$68)*($B$57/$D$68))</f>
        <v>314.14169827509755</v>
      </c>
      <c r="H69" s="131">
        <f t="shared" si="0"/>
        <v>104.71389942503251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57278080</v>
      </c>
      <c r="G70" s="130">
        <f>IF(ISBLANK(F70),"-",(F70/$D$50*$D$47*$B$68)*($B$57/$D$68))</f>
        <v>313.94441311460247</v>
      </c>
      <c r="H70" s="131">
        <f t="shared" si="0"/>
        <v>104.64813770486749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315.51121109587626</v>
      </c>
      <c r="H72" s="141">
        <f>AVERAGE(H60:H71)</f>
        <v>105.17040369862542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7.3316791313885847E-3</v>
      </c>
      <c r="H73" s="143">
        <f>STDEV(H60:H71)/H72</f>
        <v>7.3316791313766221E-3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6</v>
      </c>
      <c r="H74" s="145">
        <f>COUNT(H60:H71)</f>
        <v>6</v>
      </c>
    </row>
    <row r="76" spans="1:8" ht="26.25" customHeight="1">
      <c r="A76" s="54" t="s">
        <v>103</v>
      </c>
      <c r="B76" s="55" t="s">
        <v>104</v>
      </c>
      <c r="C76" s="277" t="str">
        <f>B26</f>
        <v>Zidovudine</v>
      </c>
      <c r="D76" s="277"/>
      <c r="E76" s="44" t="s">
        <v>105</v>
      </c>
      <c r="F76" s="44"/>
      <c r="G76" s="146">
        <f>H72</f>
        <v>105.17040369862542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Zidovudine</v>
      </c>
      <c r="C79" s="298"/>
    </row>
    <row r="80" spans="1:8" ht="26.25" customHeight="1">
      <c r="A80" s="55" t="s">
        <v>45</v>
      </c>
      <c r="B80" s="298" t="str">
        <f>B27</f>
        <v>Z1-1</v>
      </c>
      <c r="C80" s="298"/>
    </row>
    <row r="81" spans="1:12" ht="27" customHeight="1" thickBot="1">
      <c r="A81" s="55" t="s">
        <v>6</v>
      </c>
      <c r="B81" s="57">
        <f>B28</f>
        <v>99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99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93430894</v>
      </c>
      <c r="E91" s="80">
        <f>IF(ISBLANK(D91),"-",$D$101/$D$98*D91)</f>
        <v>105706362.45972264</v>
      </c>
      <c r="F91" s="315">
        <v>92087794</v>
      </c>
      <c r="G91" s="81">
        <f>IF(ISBLANK(F91),"-",$D$101/$F$98*F91)</f>
        <v>106003388.87449996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93437543</v>
      </c>
      <c r="E92" s="85">
        <f>IF(ISBLANK(D92),"-",$D$101/$D$98*D92)</f>
        <v>105713885.04217802</v>
      </c>
      <c r="F92" s="316">
        <v>92166388</v>
      </c>
      <c r="G92" s="86">
        <f>IF(ISBLANK(F92),"-",$D$101/$F$98*F92)</f>
        <v>106093859.39163715</v>
      </c>
      <c r="I92" s="281">
        <f>ABS((F96/D96*D95)-F95)/D95</f>
        <v>1.6559882727218078E-3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93935809</v>
      </c>
      <c r="E93" s="85">
        <f>IF(ISBLANK(D93),"-",$D$101/$D$98*D93)</f>
        <v>106277615.98964553</v>
      </c>
      <c r="F93" s="316">
        <v>92202903</v>
      </c>
      <c r="G93" s="86">
        <f>IF(ISBLANK(F93),"-",$D$101/$F$98*F93)</f>
        <v>106135892.25589223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93601415.333333328</v>
      </c>
      <c r="E95" s="94">
        <f>AVERAGE(E91:E94)</f>
        <v>105899287.8305154</v>
      </c>
      <c r="F95" s="154">
        <f>AVERAGE(F91:F94)</f>
        <v>92152361.666666672</v>
      </c>
      <c r="G95" s="155">
        <f>AVERAGE(G91:G94)</f>
        <v>106077713.50734311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29.76</v>
      </c>
      <c r="E96" s="44"/>
      <c r="F96" s="97">
        <v>29.25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29.76</v>
      </c>
      <c r="E97" s="100"/>
      <c r="F97" s="99">
        <f>F96*$B$87</f>
        <v>29.25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29.462400000000002</v>
      </c>
      <c r="E98" s="102"/>
      <c r="F98" s="101">
        <f>F97*$B$83/100</f>
        <v>28.9575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0.294624</v>
      </c>
      <c r="E99" s="102"/>
      <c r="F99" s="105">
        <f>F98/$B$98</f>
        <v>0.28957499999999997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0.33333333333333331</v>
      </c>
      <c r="F100" s="110"/>
      <c r="G100" s="163"/>
      <c r="H100" s="34"/>
    </row>
    <row r="101" spans="1:10" ht="18.75">
      <c r="C101" s="158" t="s">
        <v>78</v>
      </c>
      <c r="D101" s="159">
        <f>D100*$B$98</f>
        <v>33.333333333333329</v>
      </c>
      <c r="F101" s="110"/>
      <c r="H101" s="34"/>
    </row>
    <row r="102" spans="1:10" ht="19.5" customHeight="1" thickBot="1">
      <c r="C102" s="164" t="s">
        <v>79</v>
      </c>
      <c r="D102" s="165">
        <f>D101/B34</f>
        <v>33.333333333333329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105988500.66892926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2.199180760603324E-3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102813256</v>
      </c>
      <c r="E108" s="174">
        <f t="shared" ref="E108:E113" si="1">IF(ISBLANK(D108),"-",D108/$D$103*$D$100*$B$116)</f>
        <v>291.01248348012501</v>
      </c>
      <c r="F108" s="175">
        <f t="shared" ref="F108:F113" si="2">IF(ISBLANK(D108), "-", (E108/$B$56)*100)</f>
        <v>97.004161160041662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102165466</v>
      </c>
      <c r="E109" s="177">
        <f t="shared" si="1"/>
        <v>289.17891664246366</v>
      </c>
      <c r="F109" s="178">
        <f t="shared" si="2"/>
        <v>96.392972214154554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102594362</v>
      </c>
      <c r="E110" s="177">
        <f t="shared" si="1"/>
        <v>290.39290494485431</v>
      </c>
      <c r="F110" s="178">
        <f t="shared" si="2"/>
        <v>96.797634981618103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100507375</v>
      </c>
      <c r="E111" s="177">
        <f t="shared" si="1"/>
        <v>284.48569712468037</v>
      </c>
      <c r="F111" s="178">
        <f t="shared" si="2"/>
        <v>94.82856570822679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101922361</v>
      </c>
      <c r="E112" s="177">
        <f t="shared" si="1"/>
        <v>288.49080897474778</v>
      </c>
      <c r="F112" s="178">
        <f t="shared" si="2"/>
        <v>96.163602991582593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102280969</v>
      </c>
      <c r="E113" s="180">
        <f t="shared" si="1"/>
        <v>289.50584739232147</v>
      </c>
      <c r="F113" s="181">
        <f t="shared" si="2"/>
        <v>96.501949130773824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288.84444309319878</v>
      </c>
      <c r="F115" s="185">
        <f>AVERAGE(F108:F113)</f>
        <v>96.281481031066235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8.010963963227832E-3</v>
      </c>
      <c r="F116" s="188">
        <f>STDEV(F108:F113)/F115</f>
        <v>8.0109639632496062E-3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284.48569712468037</v>
      </c>
      <c r="F119" s="195">
        <f>MIN(F108:F113)</f>
        <v>94.82856570822679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291.01248348012501</v>
      </c>
      <c r="F120" s="197">
        <f>MAX(F108:F113)</f>
        <v>97.004161160041662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Zidovudine</v>
      </c>
      <c r="D124" s="277"/>
      <c r="E124" s="44" t="s">
        <v>124</v>
      </c>
      <c r="F124" s="44"/>
      <c r="G124" s="198">
        <f>F115</f>
        <v>96.281481031066235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94.82856570822679</v>
      </c>
      <c r="E125" s="55" t="s">
        <v>127</v>
      </c>
      <c r="F125" s="198">
        <f>MAX(F108:F113)</f>
        <v>97.004161160041662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85" zoomScale="40" zoomScaleNormal="60" zoomScaleSheetLayoutView="40" zoomScalePageLayoutView="55" workbookViewId="0">
      <selection activeCell="D114" sqref="D114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72" t="str">
        <f>Lamivudine!B18</f>
        <v>LAMIVUDINE, NEVIRAPINE AND ZIDOVUDINE TABLETS</v>
      </c>
      <c r="C18" s="272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49" t="str">
        <f>Lamivudine!B19</f>
        <v>NDQB201610187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0" t="str">
        <f>Lamivudine!B21</f>
        <v xml:space="preserve">Each film coated tablet contains Lamivudine 150mg Zidovudine 300mg Nevirapine 200mg </v>
      </c>
      <c r="C21" s="270"/>
      <c r="D21" s="270"/>
      <c r="E21" s="270"/>
      <c r="F21" s="270"/>
      <c r="G21" s="270"/>
      <c r="H21" s="270"/>
      <c r="I21" s="50"/>
    </row>
    <row r="22" spans="1:14" ht="26.25" customHeight="1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133</v>
      </c>
      <c r="C26" s="272"/>
    </row>
    <row r="27" spans="1:14" ht="26.25" customHeight="1">
      <c r="A27" s="55" t="s">
        <v>45</v>
      </c>
      <c r="B27" s="273" t="s">
        <v>138</v>
      </c>
      <c r="C27" s="273"/>
    </row>
    <row r="28" spans="1:14" ht="27" customHeight="1" thickBot="1">
      <c r="A28" s="55" t="s">
        <v>6</v>
      </c>
      <c r="B28" s="57">
        <v>99.8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10880632</v>
      </c>
      <c r="E38" s="80">
        <f>IF(ISBLANK(D38),"-",$D$48/$D$45*D38)</f>
        <v>25091914.554079391</v>
      </c>
      <c r="F38" s="79">
        <v>15006821</v>
      </c>
      <c r="G38" s="81">
        <f>IF(ISBLANK(F38),"-",$D$48/$F$45*F38)</f>
        <v>25992903.698494658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10879383</v>
      </c>
      <c r="E39" s="85">
        <f>IF(ISBLANK(D39),"-",$D$48/$D$45*D39)</f>
        <v>25089034.224951632</v>
      </c>
      <c r="F39" s="84">
        <v>15062190</v>
      </c>
      <c r="G39" s="86">
        <f>IF(ISBLANK(F39),"-",$D$48/$F$45*F39)</f>
        <v>26088806.827137422</v>
      </c>
      <c r="I39" s="281">
        <f>ABS((F43/D43*D42)-F42)/D42</f>
        <v>4.7077653135088673E-2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10935693</v>
      </c>
      <c r="E40" s="85">
        <f>IF(ISBLANK(D40),"-",$D$48/$D$45*D40)</f>
        <v>25218891.177060682</v>
      </c>
      <c r="F40" s="84">
        <v>15001796</v>
      </c>
      <c r="G40" s="86">
        <f>IF(ISBLANK(F40),"-",$D$48/$F$45*F40)</f>
        <v>25984200.033602212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10898569.333333334</v>
      </c>
      <c r="E42" s="94">
        <f>AVERAGE(E38:E41)</f>
        <v>25133279.985363901</v>
      </c>
      <c r="F42" s="93">
        <f>AVERAGE(F38:F41)</f>
        <v>15023602.333333334</v>
      </c>
      <c r="G42" s="95">
        <f>AVERAGE(G38:G41)</f>
        <v>26021970.186411429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8.69</v>
      </c>
      <c r="E43" s="44"/>
      <c r="F43" s="97">
        <v>11.57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8.69</v>
      </c>
      <c r="E44" s="100"/>
      <c r="F44" s="99">
        <f>F43*$B$34</f>
        <v>11.57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8.6726200000000002</v>
      </c>
      <c r="E45" s="102"/>
      <c r="F45" s="101">
        <f>F44*$B$30/100</f>
        <v>11.546859999999999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8.6726200000000003E-2</v>
      </c>
      <c r="E46" s="104"/>
      <c r="F46" s="105">
        <f>F45/$B$45</f>
        <v>0.11546859999999999</v>
      </c>
      <c r="H46" s="34"/>
    </row>
    <row r="47" spans="1:14" ht="27" customHeight="1" thickBot="1">
      <c r="A47" s="284"/>
      <c r="B47" s="285"/>
      <c r="C47" s="106" t="s">
        <v>77</v>
      </c>
      <c r="D47" s="107">
        <v>0.2</v>
      </c>
      <c r="E47" s="108"/>
      <c r="F47" s="104"/>
      <c r="H47" s="34"/>
    </row>
    <row r="48" spans="1:14" ht="18.75">
      <c r="C48" s="109" t="s">
        <v>78</v>
      </c>
      <c r="D48" s="101">
        <f>D47*$B$45</f>
        <v>20</v>
      </c>
      <c r="F48" s="110"/>
      <c r="H48" s="34"/>
    </row>
    <row r="49" spans="1:12" ht="19.5" customHeight="1" thickBot="1">
      <c r="C49" s="111" t="s">
        <v>79</v>
      </c>
      <c r="D49" s="112">
        <f>D48/B34</f>
        <v>20</v>
      </c>
      <c r="F49" s="110"/>
      <c r="H49" s="34"/>
    </row>
    <row r="50" spans="1:12" ht="18.75">
      <c r="C50" s="69" t="s">
        <v>80</v>
      </c>
      <c r="D50" s="113">
        <f>AVERAGE(E38:E41,G38:G41)</f>
        <v>25577625.085887667</v>
      </c>
      <c r="F50" s="114"/>
      <c r="H50" s="34"/>
    </row>
    <row r="51" spans="1:12" ht="18.75">
      <c r="C51" s="71" t="s">
        <v>81</v>
      </c>
      <c r="D51" s="115">
        <f>STDEV(E38:E41,G38:G41)/D50</f>
        <v>1.9172459516740899E-2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200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Lamivudine!B57</f>
        <v>1225.2680952380947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f>Lamivudine!D60</f>
        <v>1220.2</v>
      </c>
      <c r="E60" s="125">
        <v>1</v>
      </c>
      <c r="F60" s="126">
        <v>26073030</v>
      </c>
      <c r="G60" s="127">
        <f>IF(ISBLANK(F60),"-",(F60/$D$50*$D$47*$B$68)*($B$57/$D$60))</f>
        <v>204.72052526754209</v>
      </c>
      <c r="H60" s="128">
        <f t="shared" ref="H60:H71" si="0">IF(ISBLANK(F60),"-",(G60/$B$56)*100)</f>
        <v>102.36026263377104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>
        <v>26486079</v>
      </c>
      <c r="G61" s="130">
        <f>IF(ISBLANK(F61),"-",(F61/$D$50*$D$47*$B$68)*($B$57/$D$60))</f>
        <v>207.96370829004593</v>
      </c>
      <c r="H61" s="131">
        <f t="shared" si="0"/>
        <v>103.98185414502296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>
        <v>26469047</v>
      </c>
      <c r="G62" s="130">
        <f>IF(ISBLANK(F62),"-",(F62/$D$50*$D$47*$B$68)*($B$57/$D$60))</f>
        <v>207.82997623104256</v>
      </c>
      <c r="H62" s="131">
        <f t="shared" si="0"/>
        <v>103.91498811552128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f>Lamivudine!D64</f>
        <v>1221.6600000000001</v>
      </c>
      <c r="E64" s="125">
        <v>1</v>
      </c>
      <c r="F64" s="126">
        <v>25929058</v>
      </c>
      <c r="G64" s="127">
        <f>IF(ISBLANK(F64),"-",(F64/$D$50*$D$47*$B$68)*($B$57/$D$64))</f>
        <v>203.34677468339848</v>
      </c>
      <c r="H64" s="128">
        <f t="shared" si="0"/>
        <v>101.67338734169924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26248198</v>
      </c>
      <c r="G65" s="130">
        <f>IF(ISBLANK(F65),"-",(F65/$D$50*$D$47*$B$68)*($B$57/$D$64))</f>
        <v>205.84960720714304</v>
      </c>
      <c r="H65" s="131">
        <f t="shared" si="0"/>
        <v>102.92480360357152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26121522</v>
      </c>
      <c r="G66" s="130">
        <f>IF(ISBLANK(F66),"-",(F66/$D$50*$D$47*$B$68)*($B$57/$D$64))</f>
        <v>204.85615977724439</v>
      </c>
      <c r="H66" s="131">
        <f t="shared" si="0"/>
        <v>102.42807988862219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f>Lamivudine!D68</f>
        <v>1259</v>
      </c>
      <c r="E68" s="125">
        <v>1</v>
      </c>
      <c r="F68" s="126">
        <v>26741583</v>
      </c>
      <c r="G68" s="127">
        <f>IF(ISBLANK(F68),"-",(F68/$D$50*$D$47*$B$68)*($B$57/$D$68))</f>
        <v>203.49900291516417</v>
      </c>
      <c r="H68" s="131">
        <f t="shared" si="0"/>
        <v>101.74950145758208</v>
      </c>
    </row>
    <row r="69" spans="1:8" ht="27" customHeight="1" thickBot="1">
      <c r="A69" s="116" t="s">
        <v>102</v>
      </c>
      <c r="B69" s="138">
        <f>(D47*B68)/B56*B57</f>
        <v>1225.2680952380947</v>
      </c>
      <c r="C69" s="287"/>
      <c r="D69" s="290"/>
      <c r="E69" s="129">
        <v>2</v>
      </c>
      <c r="F69" s="84">
        <v>26828908</v>
      </c>
      <c r="G69" s="130">
        <f>IF(ISBLANK(F69),"-",(F69/$D$50*$D$47*$B$68)*($B$57/$D$68))</f>
        <v>204.16353165415347</v>
      </c>
      <c r="H69" s="131">
        <f t="shared" si="0"/>
        <v>102.08176582707674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26818826</v>
      </c>
      <c r="G70" s="130">
        <f>IF(ISBLANK(F70),"-",(F70/$D$50*$D$47*$B$68)*($B$57/$D$68))</f>
        <v>204.08680930950425</v>
      </c>
      <c r="H70" s="131">
        <f t="shared" si="0"/>
        <v>102.04340465475212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205.14623281502651</v>
      </c>
      <c r="H72" s="141">
        <f>AVERAGE(H60:H71)</f>
        <v>102.57311640751325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8.4324888549998402E-3</v>
      </c>
      <c r="H73" s="143">
        <f>STDEV(H60:H71)/H72</f>
        <v>8.4324888549998402E-3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9</v>
      </c>
      <c r="H74" s="145">
        <f>COUNT(H60:H71)</f>
        <v>9</v>
      </c>
    </row>
    <row r="76" spans="1:8" ht="26.25" customHeight="1">
      <c r="A76" s="54" t="s">
        <v>103</v>
      </c>
      <c r="B76" s="55" t="s">
        <v>104</v>
      </c>
      <c r="C76" s="277" t="str">
        <f>B26</f>
        <v>Nevirapine</v>
      </c>
      <c r="D76" s="277"/>
      <c r="E76" s="44" t="s">
        <v>105</v>
      </c>
      <c r="F76" s="44"/>
      <c r="G76" s="146">
        <f>H72</f>
        <v>102.57311640751325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Nevirapine</v>
      </c>
      <c r="C79" s="298"/>
    </row>
    <row r="80" spans="1:8" ht="26.25" customHeight="1">
      <c r="A80" s="55" t="s">
        <v>45</v>
      </c>
      <c r="B80" s="313" t="s">
        <v>145</v>
      </c>
      <c r="C80" s="313"/>
    </row>
    <row r="81" spans="1:12" ht="27" customHeight="1" thickBot="1">
      <c r="A81" s="55" t="s">
        <v>6</v>
      </c>
      <c r="B81" s="314">
        <v>101.38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101.38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47293559</v>
      </c>
      <c r="E91" s="80">
        <f>IF(ISBLANK(D91),"-",$D$101/$D$98*D91)</f>
        <v>51910968.532981843</v>
      </c>
      <c r="F91" s="315">
        <v>53073690</v>
      </c>
      <c r="G91" s="81">
        <f>IF(ISBLANK(F91),"-",$D$101/$F$98*F91)</f>
        <v>52380051.877220571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47331801</v>
      </c>
      <c r="E92" s="85">
        <f>IF(ISBLANK(D92),"-",$D$101/$D$98*D92)</f>
        <v>51952944.212135918</v>
      </c>
      <c r="F92" s="316">
        <v>53125453</v>
      </c>
      <c r="G92" s="86">
        <f>IF(ISBLANK(F92),"-",$D$101/$F$98*F92)</f>
        <v>52431138.368951604</v>
      </c>
      <c r="I92" s="281">
        <f>ABS((F96/D96*D95)-F95)/D95</f>
        <v>8.5897576389233656E-3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47582101</v>
      </c>
      <c r="E93" s="85">
        <f>IF(ISBLANK(D93),"-",$D$101/$D$98*D93)</f>
        <v>52227681.738736644</v>
      </c>
      <c r="F93" s="316">
        <v>53181008</v>
      </c>
      <c r="G93" s="86">
        <f>IF(ISBLANK(F93),"-",$D$101/$F$98*F93)</f>
        <v>52485967.301743709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47402487</v>
      </c>
      <c r="E95" s="94">
        <f>AVERAGE(E91:E94)</f>
        <v>52030531.49461814</v>
      </c>
      <c r="F95" s="154">
        <f>AVERAGE(F91:F94)</f>
        <v>53126717</v>
      </c>
      <c r="G95" s="155">
        <f>AVERAGE(G91:G94)</f>
        <v>52432385.849305294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19.97</v>
      </c>
      <c r="E96" s="44"/>
      <c r="F96" s="97">
        <v>22.21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19.97</v>
      </c>
      <c r="E97" s="100"/>
      <c r="F97" s="99">
        <f>F96*$B$87</f>
        <v>22.21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20.245585999999999</v>
      </c>
      <c r="E98" s="102"/>
      <c r="F98" s="101">
        <f>F97*$B$83/100</f>
        <v>22.516498000000002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0.20245585999999999</v>
      </c>
      <c r="E99" s="102"/>
      <c r="F99" s="105">
        <f>F98/$B$98</f>
        <v>0.22516498000000001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0.22222222222222221</v>
      </c>
      <c r="F100" s="110"/>
      <c r="G100" s="163"/>
      <c r="H100" s="34"/>
    </row>
    <row r="101" spans="1:10" ht="18.75">
      <c r="C101" s="158" t="s">
        <v>78</v>
      </c>
      <c r="D101" s="159">
        <f>D100*$B$98</f>
        <v>22.222222222222221</v>
      </c>
      <c r="F101" s="110"/>
      <c r="H101" s="34"/>
    </row>
    <row r="102" spans="1:10" ht="19.5" customHeight="1" thickBot="1">
      <c r="C102" s="164" t="s">
        <v>79</v>
      </c>
      <c r="D102" s="165">
        <f>D101/B34</f>
        <v>22.222222222222221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52231458.671961717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4.7442739439590501E-3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51847797</v>
      </c>
      <c r="E108" s="174">
        <f t="shared" ref="E108:E113" si="1">IF(ISBLANK(D108),"-",D108/$D$103*$D$100*$B$116)</f>
        <v>198.53091726052952</v>
      </c>
      <c r="F108" s="175">
        <f t="shared" ref="F108:F113" si="2">IF(ISBLANK(D108), "-", (E108/$B$56)*100)</f>
        <v>99.26545863026476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51641714</v>
      </c>
      <c r="E109" s="177">
        <f t="shared" si="1"/>
        <v>197.74180278722218</v>
      </c>
      <c r="F109" s="178">
        <f t="shared" si="2"/>
        <v>98.870901393611092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51673988</v>
      </c>
      <c r="E110" s="177">
        <f t="shared" si="1"/>
        <v>197.86538348292012</v>
      </c>
      <c r="F110" s="178">
        <f t="shared" si="2"/>
        <v>98.932691741460062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50713734</v>
      </c>
      <c r="E111" s="177">
        <f t="shared" si="1"/>
        <v>194.18846530213239</v>
      </c>
      <c r="F111" s="178">
        <f t="shared" si="2"/>
        <v>97.094232651066193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51396418</v>
      </c>
      <c r="E112" s="177">
        <f t="shared" si="1"/>
        <v>196.80253742402189</v>
      </c>
      <c r="F112" s="178">
        <f t="shared" si="2"/>
        <v>98.401268712010946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51751472</v>
      </c>
      <c r="E113" s="180">
        <f t="shared" si="1"/>
        <v>198.16207824109887</v>
      </c>
      <c r="F113" s="181">
        <f t="shared" si="2"/>
        <v>99.081039120549434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197.21519741632085</v>
      </c>
      <c r="F115" s="185">
        <f>AVERAGE(F108:F113)</f>
        <v>98.607598708160424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8.0682052618552512E-3</v>
      </c>
      <c r="F116" s="188">
        <f>STDEV(F108:F113)/F115</f>
        <v>8.0682052618552512E-3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194.18846530213239</v>
      </c>
      <c r="F119" s="195">
        <f>MIN(F108:F113)</f>
        <v>97.094232651066193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198.53091726052952</v>
      </c>
      <c r="F120" s="197">
        <f>MAX(F108:F113)</f>
        <v>99.26545863026476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Nevirapine</v>
      </c>
      <c r="D124" s="277"/>
      <c r="E124" s="44" t="s">
        <v>124</v>
      </c>
      <c r="F124" s="44"/>
      <c r="G124" s="198">
        <f>F115</f>
        <v>98.607598708160424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97.094232651066193</v>
      </c>
      <c r="E125" s="55" t="s">
        <v>127</v>
      </c>
      <c r="F125" s="198">
        <f>MAX(F108:F113)</f>
        <v>99.26545863026476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Uniformity</vt:lpstr>
      <vt:lpstr>SST Lam</vt:lpstr>
      <vt:lpstr>SST Zido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Nev'!Print_Area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2016-11-03T12:34:53Z</cp:lastPrinted>
  <dcterms:created xsi:type="dcterms:W3CDTF">2005-07-05T10:19:27Z</dcterms:created>
  <dcterms:modified xsi:type="dcterms:W3CDTF">2016-11-11T08:39:35Z</dcterms:modified>
</cp:coreProperties>
</file>