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effavirenz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4" i="3" l="1"/>
  <c r="B116" i="3"/>
  <c r="D100" i="3" s="1"/>
  <c r="B98" i="3"/>
  <c r="D97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B69" i="3"/>
  <c r="I39" i="3"/>
  <c r="F44" i="3"/>
  <c r="F45" i="3" s="1"/>
  <c r="G38" i="3" s="1"/>
  <c r="D45" i="3"/>
  <c r="D46" i="3" s="1"/>
  <c r="D98" i="3"/>
  <c r="E94" i="3" s="1"/>
  <c r="F98" i="3"/>
  <c r="D29" i="2"/>
  <c r="D33" i="2"/>
  <c r="D41" i="2"/>
  <c r="C50" i="2"/>
  <c r="D26" i="2"/>
  <c r="D30" i="2"/>
  <c r="D34" i="2"/>
  <c r="D38" i="2"/>
  <c r="D42" i="2"/>
  <c r="B49" i="2"/>
  <c r="D50" i="2"/>
  <c r="D49" i="3"/>
  <c r="D25" i="2"/>
  <c r="D37" i="2"/>
  <c r="D31" i="2"/>
  <c r="D39" i="2"/>
  <c r="C49" i="2"/>
  <c r="D27" i="2"/>
  <c r="D35" i="2"/>
  <c r="D43" i="2"/>
  <c r="D24" i="2"/>
  <c r="D28" i="2"/>
  <c r="D32" i="2"/>
  <c r="D36" i="2"/>
  <c r="D40" i="2"/>
  <c r="D49" i="2"/>
  <c r="E40" i="3" l="1"/>
  <c r="E91" i="3"/>
  <c r="G94" i="3"/>
  <c r="G93" i="3"/>
  <c r="G92" i="3"/>
  <c r="E41" i="3"/>
  <c r="G40" i="3"/>
  <c r="G41" i="3"/>
  <c r="G39" i="3"/>
  <c r="E39" i="3"/>
  <c r="F46" i="3"/>
  <c r="E38" i="3"/>
  <c r="E92" i="3"/>
  <c r="F99" i="3"/>
  <c r="G91" i="3"/>
  <c r="D99" i="3"/>
  <c r="E93" i="3"/>
  <c r="G95" i="3" l="1"/>
  <c r="D105" i="3"/>
  <c r="D103" i="3"/>
  <c r="E113" i="3" s="1"/>
  <c r="F113" i="3" s="1"/>
  <c r="G42" i="3"/>
  <c r="E42" i="3"/>
  <c r="D50" i="3"/>
  <c r="G70" i="3" s="1"/>
  <c r="H70" i="3" s="1"/>
  <c r="D52" i="3"/>
  <c r="E95" i="3"/>
  <c r="E109" i="3" l="1"/>
  <c r="F109" i="3" s="1"/>
  <c r="E108" i="3"/>
  <c r="E111" i="3"/>
  <c r="F111" i="3" s="1"/>
  <c r="D104" i="3"/>
  <c r="E110" i="3"/>
  <c r="F110" i="3" s="1"/>
  <c r="E112" i="3"/>
  <c r="F112" i="3" s="1"/>
  <c r="G62" i="3"/>
  <c r="H62" i="3" s="1"/>
  <c r="G65" i="3"/>
  <c r="H65" i="3" s="1"/>
  <c r="G60" i="3"/>
  <c r="G71" i="3"/>
  <c r="H71" i="3" s="1"/>
  <c r="G67" i="3"/>
  <c r="H67" i="3" s="1"/>
  <c r="G64" i="3"/>
  <c r="H64" i="3" s="1"/>
  <c r="G68" i="3"/>
  <c r="H68" i="3" s="1"/>
  <c r="D51" i="3"/>
  <c r="G66" i="3"/>
  <c r="H66" i="3" s="1"/>
  <c r="G63" i="3"/>
  <c r="H63" i="3" s="1"/>
  <c r="G69" i="3"/>
  <c r="H69" i="3" s="1"/>
  <c r="G61" i="3"/>
  <c r="H61" i="3" s="1"/>
  <c r="E120" i="3" l="1"/>
  <c r="F108" i="3"/>
  <c r="D125" i="3" s="1"/>
  <c r="E115" i="3"/>
  <c r="E116" i="3" s="1"/>
  <c r="E119" i="3"/>
  <c r="E117" i="3"/>
  <c r="G74" i="3"/>
  <c r="H60" i="3"/>
  <c r="H74" i="3" s="1"/>
  <c r="G72" i="3"/>
  <c r="G73" i="3" s="1"/>
  <c r="F119" i="3" l="1"/>
  <c r="F117" i="3"/>
  <c r="F120" i="3"/>
  <c r="F115" i="3"/>
  <c r="G124" i="3" s="1"/>
  <c r="F125" i="3"/>
  <c r="H72" i="3"/>
  <c r="G76" i="3" s="1"/>
  <c r="F116" i="3" l="1"/>
  <c r="H73" i="3"/>
</calcChain>
</file>

<file path=xl/sharedStrings.xml><?xml version="1.0" encoding="utf-8"?>
<sst xmlns="http://schemas.openxmlformats.org/spreadsheetml/2006/main" count="240" uniqueCount="137">
  <si>
    <t>HPLC System Suitability Report</t>
  </si>
  <si>
    <t>Analysis Data</t>
  </si>
  <si>
    <t>Assay</t>
  </si>
  <si>
    <t>Sample(s)</t>
  </si>
  <si>
    <t>Reference Substance:</t>
  </si>
  <si>
    <t>ALBEN TABLETS</t>
  </si>
  <si>
    <t>% age Purity:</t>
  </si>
  <si>
    <t>NDQD201610178</t>
  </si>
  <si>
    <t>Weight (mg):</t>
  </si>
  <si>
    <t>Albendazole USP 400 mg</t>
  </si>
  <si>
    <t>Standard Conc (mg/mL):</t>
  </si>
  <si>
    <t>Each chewable tablets contains: Albendazole USP 200 mg.</t>
  </si>
  <si>
    <t>2016-10-19 13:56:24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</si>
  <si>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</si>
  <si>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</si>
  <si>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</si>
  <si>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</si>
  <si>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</si>
  <si>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</si>
  <si>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</si>
  <si>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</si>
  <si>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</si>
  <si>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</si>
  <si>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</si>
  <si>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</si>
  <si>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</si>
  <si>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</si>
  <si>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</si>
  <si>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</si>
  <si>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</si>
  <si>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</si>
  <si>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</si>
  <si>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</si>
  <si>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</si>
  <si>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</si>
  <si>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</si>
  <si>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</si>
  <si>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</si>
  <si>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</si>
  <si>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</si>
  <si>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</si>
  <si>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</si>
  <si>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</si>
  <si>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</si>
  <si>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</si>
  <si>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</si>
  <si>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</si>
  <si>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</si>
  <si>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</si>
  <si>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</si>
  <si>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</si>
  <si>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</si>
  <si>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</si>
  <si>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</si>
  <si>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</si>
  <si>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</si>
  <si>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</si>
  <si>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</si>
  <si>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</si>
  <si>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</si>
  <si>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</si>
  <si>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</si>
  <si>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</si>
  <si>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</si>
  <si>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</si>
  <si>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</si>
  <si>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</si>
  <si>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</si>
  <si>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</si>
  <si>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</si>
  <si>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</si>
  <si>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</si>
  <si>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</si>
  <si>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</si>
  <si>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</si>
  <si>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</si>
  <si>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</si>
  <si>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</si>
  <si>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</si>
  <si>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</si>
  <si>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</si>
  <si>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</si>
  <si>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</si>
  <si>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</si>
  <si>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</si>
  <si>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</si>
  <si>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</si>
  <si>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</si>
  <si>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</si>
  <si>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</si>
  <si>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</si>
  <si>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</si>
  <si>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</si>
  <si>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</si>
  <si>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</si>
  <si>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</si>
  <si>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</si>
  <si>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</si>
  <si>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</si>
  <si>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</si>
  <si>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</si>
  <si>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</si>
  <si>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</si>
  <si>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</si>
  <si>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</si>
  <si>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</si>
  <si>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</si>
  <si>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</si>
  <si>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</si>
  <si>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</si>
  <si>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</si>
  <si>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</si>
  <si>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</si>
  <si>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</si>
  <si>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</si>
  <si>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</si>
  <si>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</si>
  <si>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</si>
  <si>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</si>
  <si>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</si>
  <si>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</si>
  <si>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</si>
  <si>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</si>
  <si>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</si>
  <si>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</si>
  <si>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</si>
  <si>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</si>
  <si>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</si>
  <si>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</si>
  <si>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</si>
  <si>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</si>
  <si>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Tablets 600 mg</t>
  </si>
  <si>
    <t>NDQB 201610190</t>
  </si>
  <si>
    <t>Efavirenz</t>
  </si>
  <si>
    <t>E35-1</t>
  </si>
  <si>
    <t>E3-1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</si>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</sst>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131</v>
      </c>
      <c r="D17" s="9"/>
      <c r="E17" s="10"/>
    </row>
    <row r="18" spans="1:6" ht="16.5" customHeight="1" x14ac:dyDescent="0.3">
      <c r="A18" s="11" t="s">
        <v>4</v>
      </c>
      <c r="B18" s="8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27.92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0.22335999999999998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10775712</v>
      </c>
      <c r="C24" s="18">
        <v>100944.9</v>
      </c>
      <c r="D24" s="19">
        <v>1.1000000000000001</v>
      </c>
      <c r="E24" s="20">
        <v>7.8</v>
      </c>
    </row>
    <row r="25" spans="1:6" ht="16.5" customHeight="1" x14ac:dyDescent="0.3">
      <c r="A25" s="17">
        <v>2</v>
      </c>
      <c r="B25" s="18">
        <v>10781184</v>
      </c>
      <c r="C25" s="18">
        <v>99784.2</v>
      </c>
      <c r="D25" s="19">
        <v>1.1000000000000001</v>
      </c>
      <c r="E25" s="19">
        <v>7.8</v>
      </c>
    </row>
    <row r="26" spans="1:6" ht="16.5" customHeight="1" x14ac:dyDescent="0.3">
      <c r="A26" s="17">
        <v>3</v>
      </c>
      <c r="B26" s="18">
        <v>10817283</v>
      </c>
      <c r="C26" s="18">
        <v>100478.5</v>
      </c>
      <c r="D26" s="19">
        <v>1.1000000000000001</v>
      </c>
      <c r="E26" s="19">
        <v>7.8</v>
      </c>
    </row>
    <row r="27" spans="1:6" ht="16.5" customHeight="1" x14ac:dyDescent="0.3">
      <c r="A27" s="17">
        <v>4</v>
      </c>
      <c r="B27" s="18">
        <v>10799030</v>
      </c>
      <c r="C27" s="18">
        <v>100748.6</v>
      </c>
      <c r="D27" s="19">
        <v>1.1000000000000001</v>
      </c>
      <c r="E27" s="19">
        <v>7.8</v>
      </c>
    </row>
    <row r="28" spans="1:6" ht="16.5" customHeight="1" x14ac:dyDescent="0.3">
      <c r="A28" s="17">
        <v>5</v>
      </c>
      <c r="B28" s="18">
        <v>10795712</v>
      </c>
      <c r="C28" s="18">
        <v>100959.6</v>
      </c>
      <c r="D28" s="19">
        <v>1.1000000000000001</v>
      </c>
      <c r="E28" s="19">
        <v>7.8</v>
      </c>
    </row>
    <row r="29" spans="1:6" ht="16.5" customHeight="1" x14ac:dyDescent="0.3">
      <c r="A29" s="17">
        <v>6</v>
      </c>
      <c r="B29" s="21">
        <v>10805522</v>
      </c>
      <c r="C29" s="21">
        <v>100028.8</v>
      </c>
      <c r="D29" s="22">
        <v>1.1000000000000001</v>
      </c>
      <c r="E29" s="22">
        <v>7.8</v>
      </c>
    </row>
    <row r="30" spans="1:6" ht="16.5" customHeight="1" x14ac:dyDescent="0.3">
      <c r="A30" s="23" t="s">
        <v>18</v>
      </c>
      <c r="B30" s="24">
        <f>AVERAGE(B24:B29)</f>
        <v>10795740.5</v>
      </c>
      <c r="C30" s="25">
        <f>AVERAGE(C24:C29)</f>
        <v>100490.76666666666</v>
      </c>
      <c r="D30" s="26">
        <f>AVERAGE(D24:D29)</f>
        <v>1.0999999999999999</v>
      </c>
      <c r="E30" s="26">
        <f>AVERAGE(E24:E29)</f>
        <v>7.8</v>
      </c>
    </row>
    <row r="31" spans="1:6" ht="16.5" customHeight="1" x14ac:dyDescent="0.3">
      <c r="A31" s="27" t="s">
        <v>19</v>
      </c>
      <c r="B31" s="28">
        <f>(STDEV(B24:B29)/B30)</f>
        <v>1.4251713709638653E-3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24.24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0.48479999999999995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36668421</v>
      </c>
      <c r="C45" s="18">
        <v>90950.5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36691754</v>
      </c>
      <c r="C46" s="18">
        <v>91479.2</v>
      </c>
      <c r="D46" s="19">
        <v>1.1000000000000001</v>
      </c>
      <c r="E46" s="19">
        <v>8.1999999999999993</v>
      </c>
    </row>
    <row r="47" spans="1:6" ht="16.5" customHeight="1" x14ac:dyDescent="0.3">
      <c r="A47" s="17">
        <v>3</v>
      </c>
      <c r="B47" s="18">
        <v>36723692</v>
      </c>
      <c r="C47" s="18">
        <v>90754.1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36749838</v>
      </c>
      <c r="C48" s="18">
        <v>91202.6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36754871</v>
      </c>
      <c r="C49" s="18">
        <v>90873.7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36743835</v>
      </c>
      <c r="C50" s="21">
        <v>91422.5</v>
      </c>
      <c r="D50" s="22">
        <v>1</v>
      </c>
      <c r="E50" s="22">
        <v>8.1999999999999993</v>
      </c>
    </row>
    <row r="51" spans="1:7" ht="16.5" customHeight="1" x14ac:dyDescent="0.3">
      <c r="A51" s="23" t="s">
        <v>18</v>
      </c>
      <c r="B51" s="24">
        <f>AVERAGE(B45:B50)</f>
        <v>36722068.5</v>
      </c>
      <c r="C51" s="25">
        <f>AVERAGE(C45:C50)</f>
        <v>91113.766666666677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19</v>
      </c>
      <c r="B52" s="28">
        <f>(STDEV(B45:B50)/B51)</f>
        <v>9.5276206092348176E-4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52" sqref="D5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1202.17</v>
      </c>
      <c r="D24" s="87">
        <f t="shared" ref="D24:D43" si="0">(C24-$C$46)/$C$46</f>
        <v>-1.2796519491226573E-2</v>
      </c>
      <c r="E24" s="53"/>
    </row>
    <row r="25" spans="1:5" ht="15.75" customHeight="1" x14ac:dyDescent="0.3">
      <c r="C25" s="95">
        <v>1218.95</v>
      </c>
      <c r="D25" s="88">
        <f t="shared" si="0"/>
        <v>9.8295795617037618E-4</v>
      </c>
      <c r="E25" s="53"/>
    </row>
    <row r="26" spans="1:5" ht="15.75" customHeight="1" x14ac:dyDescent="0.3">
      <c r="C26" s="95">
        <v>1226.23</v>
      </c>
      <c r="D26" s="88">
        <f t="shared" si="0"/>
        <v>6.9611817831697551E-3</v>
      </c>
      <c r="E26" s="53"/>
    </row>
    <row r="27" spans="1:5" ht="15.75" customHeight="1" x14ac:dyDescent="0.3">
      <c r="C27" s="95">
        <v>1211.1199999999999</v>
      </c>
      <c r="D27" s="88">
        <f t="shared" si="0"/>
        <v>-5.4469173962205901E-3</v>
      </c>
      <c r="E27" s="53"/>
    </row>
    <row r="28" spans="1:5" ht="15.75" customHeight="1" x14ac:dyDescent="0.3">
      <c r="C28" s="95">
        <v>1199.3900000000001</v>
      </c>
      <c r="D28" s="88">
        <f t="shared" si="0"/>
        <v>-1.5079412655932366E-2</v>
      </c>
      <c r="E28" s="53"/>
    </row>
    <row r="29" spans="1:5" ht="15.75" customHeight="1" x14ac:dyDescent="0.3">
      <c r="C29" s="95">
        <v>1216.24</v>
      </c>
      <c r="D29" s="88">
        <f t="shared" si="0"/>
        <v>-1.2424522871220132E-3</v>
      </c>
      <c r="E29" s="53"/>
    </row>
    <row r="30" spans="1:5" ht="15.75" customHeight="1" x14ac:dyDescent="0.3">
      <c r="C30" s="95">
        <v>1226.95</v>
      </c>
      <c r="D30" s="88">
        <f t="shared" si="0"/>
        <v>7.5524346891367514E-3</v>
      </c>
      <c r="E30" s="53"/>
    </row>
    <row r="31" spans="1:5" ht="15.75" customHeight="1" x14ac:dyDescent="0.3">
      <c r="C31" s="95">
        <v>1218.45</v>
      </c>
      <c r="D31" s="88">
        <f t="shared" si="0"/>
        <v>5.7236566035997777E-4</v>
      </c>
      <c r="E31" s="53"/>
    </row>
    <row r="32" spans="1:5" ht="15.75" customHeight="1" x14ac:dyDescent="0.3">
      <c r="C32" s="95">
        <v>1219.52</v>
      </c>
      <c r="D32" s="88">
        <f t="shared" si="0"/>
        <v>1.4510331733941781E-3</v>
      </c>
      <c r="E32" s="53"/>
    </row>
    <row r="33" spans="1:7" ht="15.75" customHeight="1" x14ac:dyDescent="0.3">
      <c r="C33" s="95">
        <v>1214.46</v>
      </c>
      <c r="D33" s="88">
        <f t="shared" si="0"/>
        <v>-2.7041608602070091E-3</v>
      </c>
      <c r="E33" s="53"/>
    </row>
    <row r="34" spans="1:7" ht="15.75" customHeight="1" x14ac:dyDescent="0.3">
      <c r="C34" s="95">
        <v>1217.55</v>
      </c>
      <c r="D34" s="88">
        <f t="shared" si="0"/>
        <v>-1.6670047209881413E-4</v>
      </c>
      <c r="E34" s="53"/>
    </row>
    <row r="35" spans="1:7" ht="15.75" customHeight="1" x14ac:dyDescent="0.3">
      <c r="C35" s="95">
        <v>1212.94</v>
      </c>
      <c r="D35" s="88">
        <f t="shared" si="0"/>
        <v>-3.9523614394706055E-3</v>
      </c>
      <c r="E35" s="53"/>
    </row>
    <row r="36" spans="1:7" ht="15.75" customHeight="1" x14ac:dyDescent="0.3">
      <c r="C36" s="95">
        <v>1220.28</v>
      </c>
      <c r="D36" s="88">
        <f t="shared" si="0"/>
        <v>2.0751334630259763E-3</v>
      </c>
      <c r="E36" s="53"/>
    </row>
    <row r="37" spans="1:7" ht="15.75" customHeight="1" x14ac:dyDescent="0.3">
      <c r="C37" s="95">
        <v>1224.3699999999999</v>
      </c>
      <c r="D37" s="88">
        <f t="shared" si="0"/>
        <v>5.4337784427549683E-3</v>
      </c>
      <c r="E37" s="53"/>
    </row>
    <row r="38" spans="1:7" ht="15.75" customHeight="1" x14ac:dyDescent="0.3">
      <c r="C38" s="95">
        <v>1227.5999999999999</v>
      </c>
      <c r="D38" s="88">
        <f t="shared" si="0"/>
        <v>8.0862046736901571E-3</v>
      </c>
      <c r="E38" s="53"/>
    </row>
    <row r="39" spans="1:7" ht="15.75" customHeight="1" x14ac:dyDescent="0.3">
      <c r="C39" s="95">
        <v>1216.3399999999999</v>
      </c>
      <c r="D39" s="88">
        <f t="shared" si="0"/>
        <v>-1.1603338279600082E-3</v>
      </c>
      <c r="E39" s="53"/>
    </row>
    <row r="40" spans="1:7" ht="15.75" customHeight="1" x14ac:dyDescent="0.3">
      <c r="C40" s="95">
        <v>1220.55</v>
      </c>
      <c r="D40" s="88">
        <f t="shared" si="0"/>
        <v>2.2968533027635765E-3</v>
      </c>
      <c r="E40" s="53"/>
    </row>
    <row r="41" spans="1:7" ht="15.75" customHeight="1" x14ac:dyDescent="0.3">
      <c r="C41" s="95">
        <v>1222.01</v>
      </c>
      <c r="D41" s="88">
        <f t="shared" si="0"/>
        <v>3.4957828065299698E-3</v>
      </c>
      <c r="E41" s="53"/>
    </row>
    <row r="42" spans="1:7" ht="15.75" customHeight="1" x14ac:dyDescent="0.3">
      <c r="C42" s="95">
        <v>1220.1400000000001</v>
      </c>
      <c r="D42" s="88">
        <f t="shared" si="0"/>
        <v>1.9601676201991694E-3</v>
      </c>
      <c r="E42" s="53"/>
    </row>
    <row r="43" spans="1:7" ht="16.5" customHeight="1" x14ac:dyDescent="0.3">
      <c r="C43" s="96">
        <v>1219.8</v>
      </c>
      <c r="D43" s="89">
        <f t="shared" si="0"/>
        <v>1.6809648590479789E-3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24355.059999999994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1217.7529999999997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1217.7529999999997</v>
      </c>
      <c r="C49" s="93">
        <f>-IF(C46&lt;=80,10%,IF(C46&lt;250,7.5%,5%))</f>
        <v>-0.05</v>
      </c>
      <c r="D49" s="81">
        <f>IF(C46&lt;=80,C46*0.9,IF(C46&lt;250,C46*0.925,C46*0.95))</f>
        <v>1156.8653499999996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1278.6406499999998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4" zoomScale="46" zoomScaleNormal="40" zoomScalePageLayoutView="46" workbookViewId="0">
      <selection activeCell="A116" sqref="A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131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132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131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131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>
        <v>42677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133</v>
      </c>
      <c r="C26" s="327"/>
    </row>
    <row r="27" spans="1:14" ht="26.25" customHeight="1" x14ac:dyDescent="0.4">
      <c r="A27" s="109" t="s">
        <v>48</v>
      </c>
      <c r="B27" s="333" t="s">
        <v>134</v>
      </c>
      <c r="C27" s="333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10831975</v>
      </c>
      <c r="E38" s="133">
        <f>IF(ISBLANK(D38),"-",$D$48/$D$45*D38)</f>
        <v>11673963.509439491</v>
      </c>
      <c r="F38" s="132">
        <v>10219114</v>
      </c>
      <c r="G38" s="134">
        <f>IF(ISBLANK(F38),"-",$D$48/$F$45*F38)</f>
        <v>11909214.086877208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10823231</v>
      </c>
      <c r="E39" s="138">
        <f>IF(ISBLANK(D39),"-",$D$48/$D$45*D39)</f>
        <v>11664539.822907114</v>
      </c>
      <c r="F39" s="137">
        <v>10256447</v>
      </c>
      <c r="G39" s="139">
        <f>IF(ISBLANK(F39),"-",$D$48/$F$45*F39)</f>
        <v>11952721.448621619</v>
      </c>
      <c r="I39" s="311">
        <f>ABS((F43/D43*D42)-F42)/D42</f>
        <v>2.2544637923458087E-2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10801724</v>
      </c>
      <c r="E40" s="138">
        <f>IF(ISBLANK(D40),"-",$D$48/$D$45*D40)</f>
        <v>11641361.045888379</v>
      </c>
      <c r="F40" s="137">
        <v>10271854</v>
      </c>
      <c r="G40" s="139">
        <f>IF(ISBLANK(F40),"-",$D$48/$F$45*F40)</f>
        <v>11970676.553284952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10818976.666666666</v>
      </c>
      <c r="E42" s="148">
        <f>AVERAGE(E38:E41)</f>
        <v>11659954.792744994</v>
      </c>
      <c r="F42" s="147">
        <f>AVERAGE(F38:F41)</f>
        <v>10249138.333333334</v>
      </c>
      <c r="G42" s="149">
        <f>AVERAGE(G38:G41)</f>
        <v>11944204.029594593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27.92</v>
      </c>
      <c r="E43" s="140"/>
      <c r="F43" s="152">
        <v>25.82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27.92</v>
      </c>
      <c r="E44" s="155"/>
      <c r="F44" s="154">
        <f>F43*$B$34</f>
        <v>25.82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27.836240000000004</v>
      </c>
      <c r="E45" s="158"/>
      <c r="F45" s="157">
        <f>F44*$B$30/100</f>
        <v>25.742539999999998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0.22268992000000004</v>
      </c>
      <c r="E46" s="160"/>
      <c r="F46" s="161">
        <f>F45/$B$45</f>
        <v>0.20594031999999998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11802079.411169795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1.3330347835708131E-2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Efavirenz Tablets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 Tablets 600 mg</v>
      </c>
      <c r="H56" s="179"/>
    </row>
    <row r="57" spans="1:12" ht="18.75" x14ac:dyDescent="0.3">
      <c r="A57" s="176" t="s">
        <v>88</v>
      </c>
      <c r="B57" s="247">
        <f>Uniformity!C46</f>
        <v>1217.7529999999997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4" t="s">
        <v>94</v>
      </c>
      <c r="D60" s="317">
        <v>1217.17</v>
      </c>
      <c r="E60" s="182">
        <v>1</v>
      </c>
      <c r="F60" s="183">
        <v>11796843</v>
      </c>
      <c r="G60" s="248">
        <f>IF(ISBLANK(F60),"-",(F60/$D$50*$D$47*$B$68)*($B$57/$D$60))</f>
        <v>600.02104916446945</v>
      </c>
      <c r="H60" s="266">
        <f t="shared" ref="H60:H71" si="0">IF(ISBLANK(F60),"-",(G60/$B$56)*100)</f>
        <v>100.00350819407824</v>
      </c>
      <c r="L60" s="112"/>
    </row>
    <row r="61" spans="1:12" s="14" customFormat="1" ht="26.25" customHeight="1" x14ac:dyDescent="0.4">
      <c r="A61" s="124" t="s">
        <v>95</v>
      </c>
      <c r="B61" s="125">
        <v>25</v>
      </c>
      <c r="C61" s="315"/>
      <c r="D61" s="318"/>
      <c r="E61" s="184">
        <v>2</v>
      </c>
      <c r="F61" s="137">
        <v>11920728</v>
      </c>
      <c r="G61" s="249">
        <f>IF(ISBLANK(F61),"-",(F61/$D$50*$D$47*$B$68)*($B$57/$D$60))</f>
        <v>606.32219326511927</v>
      </c>
      <c r="H61" s="267">
        <f t="shared" si="0"/>
        <v>101.05369887751988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12016339</v>
      </c>
      <c r="G62" s="249">
        <f>IF(ISBLANK(F62),"-",(F62/$D$50*$D$47*$B$68)*($B$57/$D$60))</f>
        <v>611.18524116121</v>
      </c>
      <c r="H62" s="267">
        <f t="shared" si="0"/>
        <v>101.86420686020166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1225.58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11907330</v>
      </c>
      <c r="G65" s="249">
        <f>IF(ISBLANK(F65),"-",(F65/$D$50*$D$47*$B$68)*($B$57/$D$64))</f>
        <v>601.48479148859985</v>
      </c>
      <c r="H65" s="267">
        <f t="shared" si="0"/>
        <v>100.24746524809997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12072606</v>
      </c>
      <c r="G66" s="249">
        <f>IF(ISBLANK(F66),"-",(F66/$D$50*$D$47*$B$68)*($B$57/$D$64))</f>
        <v>609.83351453550199</v>
      </c>
      <c r="H66" s="267">
        <f t="shared" si="0"/>
        <v>101.63891908925034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4" t="s">
        <v>104</v>
      </c>
      <c r="D68" s="317">
        <v>1214.4000000000001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1217.7529999999997</v>
      </c>
      <c r="C69" s="315"/>
      <c r="D69" s="318"/>
      <c r="E69" s="184">
        <v>2</v>
      </c>
      <c r="F69" s="137">
        <v>12076180</v>
      </c>
      <c r="G69" s="249">
        <f>IF(ISBLANK(F69),"-",(F69/$D$50*$D$47*$B$68)*($B$57/$D$68))</f>
        <v>615.62995764268521</v>
      </c>
      <c r="H69" s="267">
        <f t="shared" si="0"/>
        <v>102.60499294044753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11678659</v>
      </c>
      <c r="G70" s="249">
        <f>IF(ISBLANK(F70),"-",(F70/$D$50*$D$47*$B$68)*($B$57/$D$68))</f>
        <v>595.36478799532347</v>
      </c>
      <c r="H70" s="267">
        <f t="shared" si="0"/>
        <v>99.22746466588724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605.69164789327272</v>
      </c>
      <c r="H72" s="269">
        <f>AVERAGE(H60:H71)</f>
        <v>100.94860798221212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1.173258754255835E-2</v>
      </c>
      <c r="H73" s="253">
        <f>STDEV(H60:H71)/H72</f>
        <v>1.173258754255836E-2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7</v>
      </c>
      <c r="H74" s="196">
        <f>COUNT(H60:H71)</f>
        <v>7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Efavirenz</v>
      </c>
      <c r="D76" s="301"/>
      <c r="E76" s="198" t="s">
        <v>108</v>
      </c>
      <c r="F76" s="198"/>
      <c r="G76" s="199">
        <f>H72</f>
        <v>100.94860798221212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Efavirenz</v>
      </c>
      <c r="C79" s="335"/>
    </row>
    <row r="80" spans="1:8" ht="26.25" customHeight="1" x14ac:dyDescent="0.4">
      <c r="A80" s="109" t="s">
        <v>48</v>
      </c>
      <c r="B80" s="335" t="s">
        <v>135</v>
      </c>
      <c r="C80" s="335"/>
    </row>
    <row r="81" spans="1:12" ht="27" customHeight="1" x14ac:dyDescent="0.4">
      <c r="A81" s="109" t="s">
        <v>6</v>
      </c>
      <c r="B81" s="201"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36606538</v>
      </c>
      <c r="E91" s="133">
        <f>IF(ISBLANK(D91),"-",$D$101/$D$98*D91)</f>
        <v>45441445.624000713</v>
      </c>
      <c r="F91" s="132">
        <v>37139183</v>
      </c>
      <c r="G91" s="134">
        <f>IF(ISBLANK(F91),"-",$D$101/$F$98*F91)</f>
        <v>45262376.43672207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2">
        <v>36606066</v>
      </c>
      <c r="E92" s="138">
        <f>IF(ISBLANK(D92),"-",$D$101/$D$98*D92)</f>
        <v>45440859.707836382</v>
      </c>
      <c r="F92" s="132">
        <v>37181406</v>
      </c>
      <c r="G92" s="139">
        <f>IF(ISBLANK(F92),"-",$D$101/$F$98*F92)</f>
        <v>45313834.577852629</v>
      </c>
      <c r="I92" s="311">
        <f>ABS((F96/D96*D95)-F95)/D95</f>
        <v>3.2512599207742045E-3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2">
        <v>36628015</v>
      </c>
      <c r="E93" s="138">
        <f>IF(ISBLANK(D93),"-",$D$101/$D$98*D93)</f>
        <v>45468106.050825745</v>
      </c>
      <c r="F93" s="132">
        <v>37202030</v>
      </c>
      <c r="G93" s="139">
        <f>IF(ISBLANK(F93),"-",$D$101/$F$98*F93)</f>
        <v>45338969.520956546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36613539.666666664</v>
      </c>
      <c r="E95" s="148">
        <f>AVERAGE(E91:E94)</f>
        <v>45450137.127554275</v>
      </c>
      <c r="F95" s="211">
        <f>AVERAGE(F91:F94)</f>
        <v>37174206.333333336</v>
      </c>
      <c r="G95" s="212">
        <f>AVERAGE(G91:G94)</f>
        <v>45305060.17851042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24.24</v>
      </c>
      <c r="E96" s="140"/>
      <c r="F96" s="152">
        <v>24.69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24.24</v>
      </c>
      <c r="E97" s="155"/>
      <c r="F97" s="154">
        <f>F96*$B$87</f>
        <v>24.69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24.167280000000002</v>
      </c>
      <c r="E98" s="158"/>
      <c r="F98" s="157">
        <f>F97*$B$83/100</f>
        <v>24.615930000000002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0.48334560000000004</v>
      </c>
      <c r="E99" s="158"/>
      <c r="F99" s="161">
        <f>F98/$B$98</f>
        <v>0.49231860000000005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45377598.65303234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1.8465161183346649E-3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42562353</v>
      </c>
      <c r="E108" s="250">
        <f t="shared" ref="E108:E113" si="1">IF(ISBLANK(D108),"-",D108/$D$103*$D$100*$B$116)</f>
        <v>562.775743054739</v>
      </c>
      <c r="F108" s="277">
        <f t="shared" ref="F108:F113" si="2">IF(ISBLANK(D108), "-", (E108/$B$56)*100)</f>
        <v>93.795957175789837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42990573</v>
      </c>
      <c r="E109" s="251">
        <f t="shared" si="1"/>
        <v>568.43783200670327</v>
      </c>
      <c r="F109" s="278">
        <f t="shared" si="2"/>
        <v>94.739638667783879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43487122</v>
      </c>
      <c r="E110" s="251">
        <f t="shared" si="1"/>
        <v>575.00339318322199</v>
      </c>
      <c r="F110" s="278">
        <f t="shared" si="2"/>
        <v>95.833898863870331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43388897</v>
      </c>
      <c r="E111" s="251">
        <f t="shared" si="1"/>
        <v>573.70462458925931</v>
      </c>
      <c r="F111" s="278">
        <f t="shared" si="2"/>
        <v>95.617437431543223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44018026</v>
      </c>
      <c r="E112" s="251">
        <f t="shared" si="1"/>
        <v>582.02320933602573</v>
      </c>
      <c r="F112" s="278">
        <f t="shared" si="2"/>
        <v>97.003868222670945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43631152</v>
      </c>
      <c r="E113" s="252">
        <f t="shared" si="1"/>
        <v>576.90781304159248</v>
      </c>
      <c r="F113" s="279">
        <f t="shared" si="2"/>
        <v>96.151302173598737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573.14210253525687</v>
      </c>
      <c r="F115" s="281">
        <f>AVERAGE(F108:F113)</f>
        <v>95.523683755876164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1.174131738020961E-2</v>
      </c>
      <c r="F116" s="235">
        <f>STDEV(F108:F113)/F115</f>
        <v>1.1741317380209554E-2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562.775743054739</v>
      </c>
      <c r="F119" s="282">
        <f>MIN(F108:F113)</f>
        <v>93.795957175789837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582.02320933602573</v>
      </c>
      <c r="F120" s="283">
        <f>MAX(F108:F113)</f>
        <v>97.003868222670945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Efavirenz</v>
      </c>
      <c r="D124" s="301"/>
      <c r="E124" s="198" t="s">
        <v>127</v>
      </c>
      <c r="F124" s="198"/>
      <c r="G124" s="284">
        <f>F115</f>
        <v>95.523683755876164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93.795957175789837</v>
      </c>
      <c r="E125" s="209" t="s">
        <v>130</v>
      </c>
      <c r="F125" s="284">
        <f>MAX(F108:F113)</f>
        <v>97.003868222670945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effavirenz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2016-11-15T12:45:52Z</cp:lastPrinted>
  <dcterms:created xsi:type="dcterms:W3CDTF">2005-07-05T10:19:27Z</dcterms:created>
  <dcterms:modified xsi:type="dcterms:W3CDTF">2016-11-15T12:46:39Z</dcterms:modified>
</cp:coreProperties>
</file>