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9045" activeTab="6"/>
  </bookViews>
  <sheets>
    <sheet name="SST T (2)" sheetId="12" r:id="rId1"/>
    <sheet name="SST L (2)" sheetId="13" r:id="rId2"/>
    <sheet name="SST E" sheetId="14" r:id="rId3"/>
    <sheet name="Uniformity" sheetId="2" r:id="rId4"/>
    <sheet name="Efavirenz" sheetId="7" r:id="rId5"/>
    <sheet name="TDF " sheetId="10" r:id="rId6"/>
    <sheet name="Lamivudine " sheetId="11" r:id="rId7"/>
  </sheets>
  <externalReferences>
    <externalReference r:id="rId8"/>
  </externalReferences>
  <definedNames>
    <definedName name="_xlnm.Print_Area" localSheetId="4">Efavirenz!$A$1:$I$130</definedName>
    <definedName name="_xlnm.Print_Area" localSheetId="6">'Lamivudine '!$A$1:$I$130</definedName>
    <definedName name="_xlnm.Print_Area" localSheetId="5">'TDF '!$A$1:$I$131</definedName>
    <definedName name="_xlnm.Print_Area" localSheetId="3">Uniformity!$A$1:$T$54</definedName>
  </definedNames>
  <calcPr calcId="144525"/>
</workbook>
</file>

<file path=xl/calcChain.xml><?xml version="1.0" encoding="utf-8"?>
<calcChain xmlns="http://schemas.openxmlformats.org/spreadsheetml/2006/main">
  <c r="B21" i="14" l="1"/>
  <c r="B20" i="14"/>
  <c r="B21" i="13"/>
  <c r="B20" i="13"/>
  <c r="B21" i="12"/>
  <c r="B20" i="12"/>
  <c r="B57" i="7" l="1"/>
  <c r="B53" i="14"/>
  <c r="E51" i="14"/>
  <c r="D51" i="14"/>
  <c r="C51" i="14"/>
  <c r="B51" i="14"/>
  <c r="B52" i="14" s="1"/>
  <c r="B42" i="14"/>
  <c r="B39" i="14"/>
  <c r="B32" i="14"/>
  <c r="E30" i="14"/>
  <c r="D30" i="14"/>
  <c r="C30" i="14"/>
  <c r="B30" i="14"/>
  <c r="B31" i="14" s="1"/>
  <c r="B53" i="13"/>
  <c r="E51" i="13"/>
  <c r="D51" i="13"/>
  <c r="C51" i="13"/>
  <c r="B51" i="13"/>
  <c r="B52" i="13" s="1"/>
  <c r="B42" i="13"/>
  <c r="B40" i="13"/>
  <c r="B39" i="13"/>
  <c r="B32" i="13"/>
  <c r="E30" i="13"/>
  <c r="D30" i="13"/>
  <c r="C30" i="13"/>
  <c r="B30" i="13"/>
  <c r="B31" i="13" s="1"/>
  <c r="B53" i="12"/>
  <c r="E51" i="12"/>
  <c r="D51" i="12"/>
  <c r="C51" i="12"/>
  <c r="B51" i="12"/>
  <c r="B52" i="12" s="1"/>
  <c r="B42" i="12"/>
  <c r="B40" i="12"/>
  <c r="B39" i="12"/>
  <c r="B32" i="12"/>
  <c r="B31" i="12"/>
  <c r="E30" i="12"/>
  <c r="D30" i="12"/>
  <c r="C30" i="12"/>
  <c r="B30" i="12"/>
  <c r="C124" i="11" l="1"/>
  <c r="B116" i="11"/>
  <c r="D100" i="11" s="1"/>
  <c r="B98" i="11"/>
  <c r="F95" i="11"/>
  <c r="D95" i="11"/>
  <c r="I92" i="11" s="1"/>
  <c r="B87" i="11"/>
  <c r="F97" i="11" s="1"/>
  <c r="B81" i="11"/>
  <c r="B83" i="11" s="1"/>
  <c r="B80" i="11"/>
  <c r="B79" i="11"/>
  <c r="C76" i="11"/>
  <c r="H71" i="11"/>
  <c r="G71" i="11"/>
  <c r="B68" i="11"/>
  <c r="H67" i="11"/>
  <c r="G67" i="11"/>
  <c r="H63" i="11"/>
  <c r="G63" i="11"/>
  <c r="C56" i="11"/>
  <c r="B55" i="11"/>
  <c r="B45" i="11"/>
  <c r="D48" i="11" s="1"/>
  <c r="F42" i="11"/>
  <c r="D42" i="11"/>
  <c r="G41" i="11"/>
  <c r="E41" i="11"/>
  <c r="B34" i="11"/>
  <c r="F44" i="11" s="1"/>
  <c r="B30" i="11"/>
  <c r="B22" i="11"/>
  <c r="C124" i="10"/>
  <c r="B116" i="10"/>
  <c r="F113" i="10"/>
  <c r="E113" i="10"/>
  <c r="E112" i="10"/>
  <c r="F112" i="10" s="1"/>
  <c r="E111" i="10"/>
  <c r="F111" i="10" s="1"/>
  <c r="E110" i="10"/>
  <c r="F110" i="10" s="1"/>
  <c r="F109" i="10"/>
  <c r="E109" i="10"/>
  <c r="D100" i="10"/>
  <c r="B98" i="10"/>
  <c r="F97" i="10"/>
  <c r="F98" i="10" s="1"/>
  <c r="F99" i="10" s="1"/>
  <c r="F95" i="10"/>
  <c r="D95" i="10"/>
  <c r="G94" i="10"/>
  <c r="E94" i="10"/>
  <c r="B87" i="10"/>
  <c r="D97" i="10" s="1"/>
  <c r="D98" i="10" s="1"/>
  <c r="B83" i="10"/>
  <c r="B81" i="10"/>
  <c r="B80" i="10"/>
  <c r="B79" i="10"/>
  <c r="C76" i="10"/>
  <c r="H71" i="10"/>
  <c r="G71" i="10"/>
  <c r="D68" i="10"/>
  <c r="D68" i="11" s="1"/>
  <c r="B68" i="10"/>
  <c r="G61" i="10" s="1"/>
  <c r="H61" i="10" s="1"/>
  <c r="H67" i="10"/>
  <c r="G67" i="10"/>
  <c r="D64" i="10"/>
  <c r="D64" i="11" s="1"/>
  <c r="H63" i="10"/>
  <c r="G63" i="10"/>
  <c r="G62" i="10"/>
  <c r="H62" i="10" s="1"/>
  <c r="G60" i="10"/>
  <c r="H60" i="10" s="1"/>
  <c r="D60" i="10"/>
  <c r="D60" i="11" s="1"/>
  <c r="C56" i="10"/>
  <c r="B45" i="10"/>
  <c r="D48" i="10" s="1"/>
  <c r="D49" i="10" s="1"/>
  <c r="F44" i="10"/>
  <c r="F45" i="10" s="1"/>
  <c r="F42" i="10"/>
  <c r="D42" i="10"/>
  <c r="G41" i="10"/>
  <c r="E41" i="10"/>
  <c r="B34" i="10"/>
  <c r="D44" i="10" s="1"/>
  <c r="D45" i="10" s="1"/>
  <c r="B30" i="10"/>
  <c r="B21" i="10"/>
  <c r="B55" i="10" s="1"/>
  <c r="B18" i="10"/>
  <c r="B18" i="11" s="1"/>
  <c r="C124" i="7"/>
  <c r="B116" i="7"/>
  <c r="D100" i="7" s="1"/>
  <c r="B98" i="7"/>
  <c r="F95" i="7"/>
  <c r="D95" i="7"/>
  <c r="I92" i="7" s="1"/>
  <c r="B87" i="7"/>
  <c r="B81" i="7"/>
  <c r="B83" i="7" s="1"/>
  <c r="B80" i="7"/>
  <c r="B79" i="7"/>
  <c r="C76" i="7"/>
  <c r="H71" i="7"/>
  <c r="G71" i="7"/>
  <c r="B68" i="7"/>
  <c r="H67" i="7"/>
  <c r="G67" i="7"/>
  <c r="H63" i="7"/>
  <c r="G63" i="7"/>
  <c r="B57" i="10"/>
  <c r="C56" i="7"/>
  <c r="B55" i="7"/>
  <c r="B45" i="7"/>
  <c r="D48" i="7" s="1"/>
  <c r="D49" i="7" s="1"/>
  <c r="F44" i="7"/>
  <c r="D44" i="7"/>
  <c r="F42" i="7"/>
  <c r="D42" i="7"/>
  <c r="I39" i="7" s="1"/>
  <c r="G41" i="7"/>
  <c r="E41" i="7"/>
  <c r="B34" i="7"/>
  <c r="B30" i="7"/>
  <c r="D49" i="2"/>
  <c r="C46" i="2"/>
  <c r="C49" i="2" s="1"/>
  <c r="C45" i="2"/>
  <c r="D41" i="2"/>
  <c r="D40" i="2"/>
  <c r="D37" i="2"/>
  <c r="D36" i="2"/>
  <c r="D33" i="2"/>
  <c r="D32" i="2"/>
  <c r="D29" i="2"/>
  <c r="D28" i="2"/>
  <c r="D25" i="2"/>
  <c r="D24" i="2"/>
  <c r="C19" i="2"/>
  <c r="F46" i="10" l="1"/>
  <c r="E38" i="10"/>
  <c r="I39" i="10"/>
  <c r="E39" i="10"/>
  <c r="F45" i="11"/>
  <c r="F46" i="11" s="1"/>
  <c r="D101" i="11"/>
  <c r="D97" i="11"/>
  <c r="D98" i="11" s="1"/>
  <c r="E92" i="11" s="1"/>
  <c r="E92" i="10"/>
  <c r="E91" i="10"/>
  <c r="I92" i="10"/>
  <c r="D99" i="10"/>
  <c r="D101" i="10"/>
  <c r="F45" i="7"/>
  <c r="F46" i="7" s="1"/>
  <c r="D101" i="7"/>
  <c r="D102" i="7" s="1"/>
  <c r="D45" i="7"/>
  <c r="I39" i="11"/>
  <c r="B57" i="11"/>
  <c r="B69" i="11" s="1"/>
  <c r="B69" i="10"/>
  <c r="B69" i="7"/>
  <c r="F97" i="7"/>
  <c r="F98" i="7" s="1"/>
  <c r="G93" i="7" s="1"/>
  <c r="D97" i="7"/>
  <c r="D98" i="7" s="1"/>
  <c r="E92" i="7" s="1"/>
  <c r="G94" i="7"/>
  <c r="G40" i="10"/>
  <c r="D46" i="10"/>
  <c r="D49" i="11"/>
  <c r="G38" i="11"/>
  <c r="F98" i="11"/>
  <c r="G92" i="11" s="1"/>
  <c r="G39" i="7"/>
  <c r="G39" i="10"/>
  <c r="D102" i="11"/>
  <c r="D44" i="11"/>
  <c r="D45" i="11" s="1"/>
  <c r="D46" i="11" s="1"/>
  <c r="G38" i="7"/>
  <c r="G38" i="10"/>
  <c r="E40" i="10"/>
  <c r="C50" i="2"/>
  <c r="D26" i="2"/>
  <c r="D30" i="2"/>
  <c r="D34" i="2"/>
  <c r="D38" i="2"/>
  <c r="D42" i="2"/>
  <c r="B49" i="2"/>
  <c r="D50" i="2"/>
  <c r="D27" i="2"/>
  <c r="D31" i="2"/>
  <c r="D35" i="2"/>
  <c r="D39" i="2"/>
  <c r="D43" i="2"/>
  <c r="G40" i="7" l="1"/>
  <c r="G42" i="7" s="1"/>
  <c r="E38" i="7"/>
  <c r="E39" i="7"/>
  <c r="D46" i="7"/>
  <c r="E40" i="7"/>
  <c r="E42" i="10"/>
  <c r="G40" i="11"/>
  <c r="G39" i="11"/>
  <c r="G93" i="11"/>
  <c r="D102" i="10"/>
  <c r="G93" i="10"/>
  <c r="G92" i="10"/>
  <c r="G91" i="10"/>
  <c r="E93" i="10"/>
  <c r="E95" i="10" s="1"/>
  <c r="D105" i="10"/>
  <c r="E91" i="7"/>
  <c r="E93" i="7"/>
  <c r="D50" i="10"/>
  <c r="D51" i="10" s="1"/>
  <c r="G42" i="10"/>
  <c r="G42" i="11"/>
  <c r="G70" i="10"/>
  <c r="H70" i="10" s="1"/>
  <c r="G68" i="10"/>
  <c r="H68" i="10" s="1"/>
  <c r="G65" i="10"/>
  <c r="H65" i="10" s="1"/>
  <c r="G69" i="10"/>
  <c r="H69" i="10" s="1"/>
  <c r="G66" i="10"/>
  <c r="H66" i="10" s="1"/>
  <c r="G64" i="10"/>
  <c r="D52" i="10"/>
  <c r="E40" i="11"/>
  <c r="D99" i="11"/>
  <c r="E93" i="11"/>
  <c r="E91" i="11"/>
  <c r="E94" i="11"/>
  <c r="E38" i="11"/>
  <c r="E39" i="11"/>
  <c r="D99" i="7"/>
  <c r="E94" i="7"/>
  <c r="F99" i="11"/>
  <c r="G91" i="11"/>
  <c r="F99" i="7"/>
  <c r="G92" i="7"/>
  <c r="G91" i="7"/>
  <c r="G94" i="11"/>
  <c r="D52" i="7" l="1"/>
  <c r="D50" i="7"/>
  <c r="D51" i="7" s="1"/>
  <c r="E42" i="7"/>
  <c r="G95" i="11"/>
  <c r="D103" i="10"/>
  <c r="G95" i="10"/>
  <c r="G95" i="7"/>
  <c r="E95" i="7"/>
  <c r="D103" i="7"/>
  <c r="D104" i="7" s="1"/>
  <c r="D105" i="7"/>
  <c r="D50" i="11"/>
  <c r="E42" i="11"/>
  <c r="D52" i="11"/>
  <c r="E111" i="7"/>
  <c r="F111" i="7" s="1"/>
  <c r="H64" i="10"/>
  <c r="G72" i="10"/>
  <c r="G73" i="10" s="1"/>
  <c r="G74" i="10"/>
  <c r="D103" i="11"/>
  <c r="E95" i="11"/>
  <c r="D105" i="11"/>
  <c r="G68" i="7"/>
  <c r="H68" i="7" s="1"/>
  <c r="G66" i="7"/>
  <c r="H66" i="7" s="1"/>
  <c r="G64" i="7"/>
  <c r="H64" i="7" s="1"/>
  <c r="G60" i="7"/>
  <c r="G69" i="7"/>
  <c r="H69" i="7" s="1"/>
  <c r="G62" i="7"/>
  <c r="H62" i="7" s="1"/>
  <c r="G65" i="7"/>
  <c r="H65" i="7" s="1"/>
  <c r="G70" i="7"/>
  <c r="H70" i="7" s="1"/>
  <c r="G61" i="7"/>
  <c r="H61" i="7" s="1"/>
  <c r="D104" i="10" l="1"/>
  <c r="E108" i="10"/>
  <c r="E112" i="7"/>
  <c r="F112" i="7" s="1"/>
  <c r="E109" i="7"/>
  <c r="F109" i="7" s="1"/>
  <c r="E113" i="7"/>
  <c r="F113" i="7" s="1"/>
  <c r="E108" i="7"/>
  <c r="E110" i="7"/>
  <c r="F110" i="7" s="1"/>
  <c r="E113" i="11"/>
  <c r="F113" i="11" s="1"/>
  <c r="E111" i="11"/>
  <c r="F111" i="11" s="1"/>
  <c r="E109" i="11"/>
  <c r="F109" i="11" s="1"/>
  <c r="D104" i="11"/>
  <c r="E112" i="11"/>
  <c r="F112" i="11" s="1"/>
  <c r="E110" i="11"/>
  <c r="F110" i="11" s="1"/>
  <c r="E108" i="11"/>
  <c r="F108" i="7"/>
  <c r="H60" i="7"/>
  <c r="G72" i="7"/>
  <c r="G73" i="7" s="1"/>
  <c r="G74" i="7"/>
  <c r="H72" i="10"/>
  <c r="H74" i="10"/>
  <c r="G66" i="11"/>
  <c r="H66" i="11" s="1"/>
  <c r="G64" i="11"/>
  <c r="H64" i="11" s="1"/>
  <c r="G70" i="11"/>
  <c r="H70" i="11" s="1"/>
  <c r="G62" i="11"/>
  <c r="H62" i="11" s="1"/>
  <c r="G60" i="11"/>
  <c r="G68" i="11"/>
  <c r="H68" i="11" s="1"/>
  <c r="G65" i="11"/>
  <c r="H65" i="11" s="1"/>
  <c r="G69" i="11"/>
  <c r="H69" i="11" s="1"/>
  <c r="G61" i="11"/>
  <c r="H61" i="11" s="1"/>
  <c r="D51" i="11"/>
  <c r="F108" i="10" l="1"/>
  <c r="E115" i="10"/>
  <c r="E116" i="10" s="1"/>
  <c r="E117" i="10"/>
  <c r="E119" i="10"/>
  <c r="E120" i="10"/>
  <c r="E119" i="7"/>
  <c r="E117" i="7"/>
  <c r="E120" i="7"/>
  <c r="E115" i="7"/>
  <c r="E116" i="7" s="1"/>
  <c r="G76" i="10"/>
  <c r="H73" i="10"/>
  <c r="F119" i="7"/>
  <c r="F125" i="7"/>
  <c r="F120" i="7"/>
  <c r="F117" i="7"/>
  <c r="F115" i="7"/>
  <c r="D125" i="7"/>
  <c r="E120" i="11"/>
  <c r="E117" i="11"/>
  <c r="F108" i="11"/>
  <c r="E115" i="11"/>
  <c r="E116" i="11" s="1"/>
  <c r="E119" i="11"/>
  <c r="H60" i="11"/>
  <c r="G74" i="11"/>
  <c r="G72" i="11"/>
  <c r="G73" i="11" s="1"/>
  <c r="H74" i="7"/>
  <c r="H72" i="7"/>
  <c r="F115" i="10" l="1"/>
  <c r="G124" i="10" s="1"/>
  <c r="D125" i="10"/>
  <c r="F125" i="10"/>
  <c r="F117" i="10"/>
  <c r="F120" i="10"/>
  <c r="F119" i="10"/>
  <c r="F116" i="10"/>
  <c r="G124" i="7"/>
  <c r="F116" i="7"/>
  <c r="G76" i="7"/>
  <c r="H73" i="7"/>
  <c r="F125" i="11"/>
  <c r="F120" i="11"/>
  <c r="F117" i="11"/>
  <c r="D125" i="11"/>
  <c r="F115" i="11"/>
  <c r="F119" i="11"/>
  <c r="H74" i="11"/>
  <c r="H72" i="11"/>
  <c r="G124" i="11" l="1"/>
  <c r="F116" i="11"/>
  <c r="G76" i="11"/>
  <c r="H73" i="11"/>
</calcChain>
</file>

<file path=xl/sharedStrings.xml><?xml version="1.0" encoding="utf-8"?>
<sst xmlns="http://schemas.openxmlformats.org/spreadsheetml/2006/main" count="660" uniqueCount="149">
  <si>
    <t>HPLC System Suitability Report</t>
  </si>
  <si>
    <t>Analysis Data</t>
  </si>
  <si>
    <t>Assay</t>
  </si>
  <si>
    <t>Sample(s)</t>
  </si>
  <si>
    <t>Reference Substance:</t>
  </si>
  <si>
    <t>WFAVIRENZ, LAMIVUDINE AND TENOFOVIR DISPROXIL FUMARATE TABLETS
600 MG/300 MG/300 MG</t>
  </si>
  <si>
    <t>% age Purity:</t>
  </si>
  <si>
    <t>NDQB201610193</t>
  </si>
  <si>
    <t>Weight (mg):</t>
  </si>
  <si>
    <t>Tenofovir Disoproxil Fumarate, Lamivudine, Efavirenz</t>
  </si>
  <si>
    <t>Standard Conc (mg/mL):</t>
  </si>
  <si>
    <t>Each film coated tablets contains 600 mg of Efavirenz USP, 300 mg of Lamivudine USP and 300 mg Tenofovirdisproxil fumarate, which is equivalent to 245 mg of tenofovir disproxil</t>
  </si>
  <si>
    <t>2016-10-26 09:36:28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</si>
  <si>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</si>
  <si>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</si>
  <si>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</si>
  <si>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</si>
  <si>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</si>
  <si>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</si>
  <si>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</si>
  <si>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</si>
  <si>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</si>
  <si>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</si>
  <si>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</si>
  <si>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</si>
  <si>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</si>
  <si>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</si>
  <si>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</si>
  <si>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</si>
  <si>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</si>
  <si>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</si>
  <si>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</si>
  <si>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</si>
  <si>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</si>
  <si>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</si>
  <si>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</si>
  <si>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</si>
  <si>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</si>
  <si>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</si>
  <si>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</si>
  <si>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</si>
  <si>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</si>
  <si>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</si>
  <si>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</si>
  <si>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</si>
  <si>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</si>
  <si>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</si>
  <si>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</si>
  <si>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</si>
  <si>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</si>
  <si>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</si>
  <si>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</si>
  <si>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</si>
  <si>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</si>
  <si>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</si>
  <si>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</si>
  <si>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</si>
  <si>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</si>
  <si>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</si>
  <si>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</si>
  <si>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</si>
  <si>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</si>
  <si>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</si>
  <si>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</si>
  <si>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</si>
  <si>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</si>
  <si>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</si>
  <si>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</si>
  <si>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</si>
  <si>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</si>
  <si>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</si>
  <si>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</si>
  <si>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</si>
  <si>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</si>
  <si>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</si>
  <si>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</si>
  <si>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</si>
  <si>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</si>
  <si>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</si>
  <si>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</si>
  <si>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</si>
  <si>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</si>
  <si>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</si>
  <si>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</si>
  <si>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</si>
  <si>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</si>
  <si>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</si>
  <si>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</si>
  <si>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</si>
  <si>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</si>
  <si>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</si>
  <si>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</si>
  <si>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</si>
  <si>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</si>
  <si>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</si>
  <si>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</si>
  <si>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</si>
  <si>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</si>
  <si>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</si>
  <si>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</si>
  <si>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</si>
  <si>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</si>
  <si>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</si>
  <si>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</si>
  <si>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</si>
  <si>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</si>
  <si>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</si>
  <si>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</si>
  <si>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</si>
  <si>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</si>
  <si>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</si>
  <si>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</si>
  <si>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</si>
  <si>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</si>
  <si>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</si>
  <si>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</si>
  <si>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</si>
  <si>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</si>
  <si>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</si>
  <si>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</si>
  <si>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</si>
  <si>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</si>
  <si>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</si>
  <si>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</si>
  <si>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</si>
  <si>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</si>
  <si>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</si>
  <si>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</si>
  <si>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</si>
  <si>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</si>
  <si>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</si>
  <si>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FUMARATE/  LAMIVUDINE/ EFAVIRENZ  TABLETS 300 MG/300 MG /600 MG</t>
  </si>
  <si>
    <t>Efavirenz</t>
  </si>
  <si>
    <t>Each film coated tablets contains Tenofovir disoproxil fumarate 300 mg, lamivudine USP 300 mg, Efavirenz 600 mg</t>
  </si>
  <si>
    <t>2016-10-26 09:24:19</t>
  </si>
  <si>
    <t>Tenofovir Disoproxil Fumarate</t>
  </si>
  <si>
    <t>Lamivudine</t>
  </si>
  <si>
    <t>Tenofovir DF</t>
  </si>
  <si>
    <t>T11 8</t>
  </si>
  <si>
    <t>Lamivudine and Tenofovir Disoproxil Fumarate</t>
  </si>
  <si>
    <t>Each film coated tablet contains: Tenofovir Disoproxil Fumarate 300 mg equivalent to Tenofovir Disoproxil 245 mg and Lamivudine USP 300 mg.</t>
  </si>
  <si>
    <t xml:space="preserve">TENOFOVIR DISOPROXIL FUMARATE TABLETS 300 MG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</si>
  <si>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</si>
  <si>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</si>
  <si>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</si>
  <si>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Bugigi</t>
  </si>
  <si>
    <t>LAMIVUDINE 300 MG AND TENOFOVIR DISOPROXIL FUMARATE 300 MG TABLETS</t>
  </si>
  <si>
    <t>E04 04</t>
  </si>
  <si>
    <t>L42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</si>
</sst>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7" fillId="2" borderId="0"/>
  </cellStyleXfs>
  <cellXfs count="36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5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5" fillId="2" borderId="0" xfId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28" fillId="2" borderId="0" xfId="2" applyFont="1" applyFill="1"/>
    <xf numFmtId="0" fontId="29" fillId="2" borderId="0" xfId="2" applyFont="1" applyFill="1"/>
    <xf numFmtId="0" fontId="29" fillId="2" borderId="0" xfId="2" applyFont="1" applyFill="1" applyAlignment="1">
      <alignment horizontal="right"/>
    </xf>
    <xf numFmtId="0" fontId="30" fillId="2" borderId="0" xfId="2" applyFont="1" applyFill="1" applyAlignment="1">
      <alignment horizontal="center"/>
    </xf>
    <xf numFmtId="0" fontId="31" fillId="2" borderId="0" xfId="2" applyFont="1" applyFill="1"/>
    <xf numFmtId="0" fontId="31" fillId="2" borderId="0" xfId="2" applyFont="1" applyFill="1" applyAlignment="1">
      <alignment horizontal="left"/>
    </xf>
    <xf numFmtId="0" fontId="32" fillId="2" borderId="0" xfId="2" applyFont="1" applyFill="1" applyAlignment="1">
      <alignment horizontal="left"/>
    </xf>
    <xf numFmtId="0" fontId="32" fillId="2" borderId="0" xfId="2" applyFont="1" applyFill="1" applyAlignment="1">
      <alignment horizontal="center"/>
    </xf>
    <xf numFmtId="0" fontId="33" fillId="2" borderId="0" xfId="2" applyFont="1" applyFill="1"/>
    <xf numFmtId="0" fontId="32" fillId="2" borderId="0" xfId="2" applyFont="1" applyFill="1"/>
    <xf numFmtId="2" fontId="32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4" fontId="32" fillId="2" borderId="0" xfId="2" applyNumberFormat="1" applyFont="1" applyFill="1" applyAlignment="1">
      <alignment horizontal="center"/>
    </xf>
    <xf numFmtId="0" fontId="32" fillId="2" borderId="1" xfId="2" applyFont="1" applyFill="1" applyBorder="1" applyAlignment="1">
      <alignment horizontal="center"/>
    </xf>
    <xf numFmtId="0" fontId="32" fillId="2" borderId="2" xfId="2" applyFont="1" applyFill="1" applyBorder="1" applyAlignment="1">
      <alignment horizontal="center"/>
    </xf>
    <xf numFmtId="0" fontId="33" fillId="2" borderId="3" xfId="2" applyFont="1" applyFill="1" applyBorder="1" applyAlignment="1">
      <alignment horizontal="center"/>
    </xf>
    <xf numFmtId="0" fontId="34" fillId="3" borderId="3" xfId="2" applyFont="1" applyFill="1" applyBorder="1" applyAlignment="1" applyProtection="1">
      <alignment horizontal="center"/>
      <protection locked="0"/>
    </xf>
    <xf numFmtId="2" fontId="34" fillId="3" borderId="3" xfId="2" applyNumberFormat="1" applyFont="1" applyFill="1" applyBorder="1" applyAlignment="1" applyProtection="1">
      <alignment horizontal="center"/>
      <protection locked="0"/>
    </xf>
    <xf numFmtId="2" fontId="34" fillId="3" borderId="4" xfId="2" applyNumberFormat="1" applyFont="1" applyFill="1" applyBorder="1" applyAlignment="1" applyProtection="1">
      <alignment horizontal="center"/>
      <protection locked="0"/>
    </xf>
    <xf numFmtId="0" fontId="34" fillId="3" borderId="5" xfId="2" applyFont="1" applyFill="1" applyBorder="1" applyAlignment="1" applyProtection="1">
      <alignment horizontal="center"/>
      <protection locked="0"/>
    </xf>
    <xf numFmtId="2" fontId="34" fillId="3" borderId="5" xfId="2" applyNumberFormat="1" applyFont="1" applyFill="1" applyBorder="1" applyAlignment="1" applyProtection="1">
      <alignment horizontal="center"/>
      <protection locked="0"/>
    </xf>
    <xf numFmtId="0" fontId="33" fillId="2" borderId="4" xfId="2" applyFont="1" applyFill="1" applyBorder="1"/>
    <xf numFmtId="1" fontId="32" fillId="4" borderId="2" xfId="2" applyNumberFormat="1" applyFont="1" applyFill="1" applyBorder="1" applyAlignment="1">
      <alignment horizontal="center"/>
    </xf>
    <xf numFmtId="1" fontId="32" fillId="4" borderId="1" xfId="2" applyNumberFormat="1" applyFont="1" applyFill="1" applyBorder="1" applyAlignment="1">
      <alignment horizontal="center"/>
    </xf>
    <xf numFmtId="2" fontId="32" fillId="4" borderId="1" xfId="2" applyNumberFormat="1" applyFont="1" applyFill="1" applyBorder="1" applyAlignment="1">
      <alignment horizontal="center"/>
    </xf>
    <xf numFmtId="0" fontId="33" fillId="2" borderId="3" xfId="2" applyFont="1" applyFill="1" applyBorder="1"/>
    <xf numFmtId="10" fontId="32" fillId="5" borderId="1" xfId="2" applyNumberFormat="1" applyFont="1" applyFill="1" applyBorder="1" applyAlignment="1">
      <alignment horizontal="center"/>
    </xf>
    <xf numFmtId="165" fontId="32" fillId="2" borderId="0" xfId="2" applyNumberFormat="1" applyFont="1" applyFill="1" applyAlignment="1">
      <alignment horizontal="center"/>
    </xf>
    <xf numFmtId="0" fontId="33" fillId="2" borderId="6" xfId="2" applyFont="1" applyFill="1" applyBorder="1"/>
    <xf numFmtId="0" fontId="33" fillId="2" borderId="5" xfId="2" applyFont="1" applyFill="1" applyBorder="1"/>
    <xf numFmtId="0" fontId="32" fillId="4" borderId="1" xfId="2" applyFont="1" applyFill="1" applyBorder="1" applyAlignment="1">
      <alignment horizontal="center"/>
    </xf>
    <xf numFmtId="0" fontId="32" fillId="2" borderId="7" xfId="2" applyFont="1" applyFill="1" applyBorder="1" applyAlignment="1">
      <alignment horizontal="center"/>
    </xf>
    <xf numFmtId="0" fontId="33" fillId="2" borderId="7" xfId="2" applyFont="1" applyFill="1" applyBorder="1"/>
    <xf numFmtId="0" fontId="33" fillId="2" borderId="8" xfId="2" applyFont="1" applyFill="1" applyBorder="1"/>
    <xf numFmtId="0" fontId="33" fillId="2" borderId="0" xfId="2" applyFont="1" applyFill="1" applyAlignment="1" applyProtection="1">
      <alignment horizontal="left"/>
      <protection locked="0"/>
    </xf>
    <xf numFmtId="0" fontId="33" fillId="2" borderId="0" xfId="2" applyFont="1" applyFill="1" applyProtection="1">
      <protection locked="0"/>
    </xf>
    <xf numFmtId="2" fontId="32" fillId="2" borderId="0" xfId="2" applyNumberFormat="1" applyFont="1" applyFill="1" applyAlignment="1">
      <alignment horizontal="left"/>
    </xf>
    <xf numFmtId="0" fontId="29" fillId="2" borderId="9" xfId="2" applyFont="1" applyFill="1" applyBorder="1"/>
    <xf numFmtId="0" fontId="29" fillId="2" borderId="0" xfId="2" applyFont="1" applyFill="1" applyAlignment="1">
      <alignment horizontal="center"/>
    </xf>
    <xf numFmtId="10" fontId="29" fillId="2" borderId="9" xfId="2" applyNumberFormat="1" applyFont="1" applyFill="1" applyBorder="1"/>
    <xf numFmtId="0" fontId="27" fillId="2" borderId="0" xfId="2" applyFill="1"/>
    <xf numFmtId="0" fontId="28" fillId="2" borderId="10" xfId="2" applyFont="1" applyFill="1" applyBorder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28" fillId="2" borderId="0" xfId="2" applyFont="1" applyFill="1" applyAlignment="1">
      <alignment horizontal="right"/>
    </xf>
    <xf numFmtId="0" fontId="29" fillId="2" borderId="7" xfId="2" applyFont="1" applyFill="1" applyBorder="1"/>
    <xf numFmtId="0" fontId="28" fillId="2" borderId="11" xfId="2" applyFont="1" applyFill="1" applyBorder="1"/>
    <xf numFmtId="0" fontId="29" fillId="2" borderId="11" xfId="2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/>
    <xf numFmtId="0" fontId="5" fillId="2" borderId="0" xfId="2" applyFont="1" applyFill="1"/>
    <xf numFmtId="0" fontId="26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B22" sqref="B22"/>
    </sheetView>
  </sheetViews>
  <sheetFormatPr defaultRowHeight="13.5" x14ac:dyDescent="0.25"/>
  <cols>
    <col min="1" max="1" width="27.5703125" style="262" customWidth="1"/>
    <col min="2" max="2" width="20.42578125" style="262" customWidth="1"/>
    <col min="3" max="3" width="31.85546875" style="262" customWidth="1"/>
    <col min="4" max="4" width="25.85546875" style="262" customWidth="1"/>
    <col min="5" max="5" width="25.7109375" style="262" customWidth="1"/>
    <col min="6" max="6" width="23.140625" style="262" customWidth="1"/>
    <col min="7" max="7" width="28.42578125" style="262" customWidth="1"/>
    <col min="8" max="8" width="21.5703125" style="262" customWidth="1"/>
    <col min="9" max="9" width="9.140625" style="262" customWidth="1"/>
    <col min="10" max="16384" width="9.140625" style="301"/>
  </cols>
  <sheetData>
    <row r="14" spans="1:6" ht="15" customHeight="1" x14ac:dyDescent="0.3">
      <c r="A14" s="261"/>
      <c r="C14" s="263"/>
      <c r="F14" s="263"/>
    </row>
    <row r="15" spans="1:6" ht="18.75" customHeight="1" x14ac:dyDescent="0.3">
      <c r="A15" s="264" t="s">
        <v>0</v>
      </c>
      <c r="B15" s="264"/>
      <c r="C15" s="264"/>
      <c r="D15" s="264"/>
      <c r="E15" s="264"/>
    </row>
    <row r="16" spans="1:6" ht="16.5" customHeight="1" x14ac:dyDescent="0.3">
      <c r="A16" s="265" t="s">
        <v>1</v>
      </c>
      <c r="B16" s="266" t="s">
        <v>2</v>
      </c>
    </row>
    <row r="17" spans="1:5" ht="16.5" customHeight="1" x14ac:dyDescent="0.3">
      <c r="A17" s="267" t="s">
        <v>3</v>
      </c>
      <c r="B17" s="267" t="s">
        <v>141</v>
      </c>
      <c r="D17" s="268"/>
      <c r="E17" s="269"/>
    </row>
    <row r="18" spans="1:5" ht="16.5" customHeight="1" x14ac:dyDescent="0.3">
      <c r="A18" s="270" t="s">
        <v>4</v>
      </c>
      <c r="B18" s="271" t="s">
        <v>135</v>
      </c>
      <c r="C18" s="269"/>
      <c r="D18" s="269"/>
      <c r="E18" s="269"/>
    </row>
    <row r="19" spans="1:5" ht="16.5" customHeight="1" x14ac:dyDescent="0.3">
      <c r="A19" s="270" t="s">
        <v>6</v>
      </c>
      <c r="B19" s="271">
        <v>98.8</v>
      </c>
      <c r="C19" s="269"/>
      <c r="D19" s="269"/>
      <c r="E19" s="269"/>
    </row>
    <row r="20" spans="1:5" ht="16.5" customHeight="1" x14ac:dyDescent="0.3">
      <c r="A20" s="267" t="s">
        <v>8</v>
      </c>
      <c r="B20" s="272">
        <f>'TDF '!D43</f>
        <v>13.01</v>
      </c>
      <c r="C20" s="269"/>
      <c r="D20" s="269"/>
      <c r="E20" s="269"/>
    </row>
    <row r="21" spans="1:5" ht="16.5" customHeight="1" x14ac:dyDescent="0.3">
      <c r="A21" s="267" t="s">
        <v>10</v>
      </c>
      <c r="B21" s="273">
        <f>B20/10*4/50</f>
        <v>0.10407999999999999</v>
      </c>
      <c r="C21" s="269"/>
      <c r="D21" s="269"/>
      <c r="E21" s="269"/>
    </row>
    <row r="22" spans="1:5" ht="15.75" customHeight="1" x14ac:dyDescent="0.25">
      <c r="A22" s="269"/>
      <c r="B22" s="269"/>
      <c r="C22" s="269"/>
      <c r="D22" s="269"/>
      <c r="E22" s="269"/>
    </row>
    <row r="23" spans="1:5" ht="16.5" customHeight="1" x14ac:dyDescent="0.3">
      <c r="A23" s="274" t="s">
        <v>13</v>
      </c>
      <c r="B23" s="275" t="s">
        <v>14</v>
      </c>
      <c r="C23" s="274" t="s">
        <v>15</v>
      </c>
      <c r="D23" s="274" t="s">
        <v>16</v>
      </c>
      <c r="E23" s="274" t="s">
        <v>17</v>
      </c>
    </row>
    <row r="24" spans="1:5" ht="16.5" customHeight="1" x14ac:dyDescent="0.3">
      <c r="A24" s="276">
        <v>1</v>
      </c>
      <c r="B24" s="277">
        <v>13800187</v>
      </c>
      <c r="C24" s="277">
        <v>83804.5</v>
      </c>
      <c r="D24" s="278">
        <v>1.1000000000000001</v>
      </c>
      <c r="E24" s="279">
        <v>6.7</v>
      </c>
    </row>
    <row r="25" spans="1:5" ht="16.5" customHeight="1" x14ac:dyDescent="0.3">
      <c r="A25" s="276">
        <v>2</v>
      </c>
      <c r="B25" s="277">
        <v>13825465</v>
      </c>
      <c r="C25" s="277">
        <v>84587.8</v>
      </c>
      <c r="D25" s="278">
        <v>1.1000000000000001</v>
      </c>
      <c r="E25" s="278">
        <v>6.7</v>
      </c>
    </row>
    <row r="26" spans="1:5" ht="16.5" customHeight="1" x14ac:dyDescent="0.3">
      <c r="A26" s="276">
        <v>3</v>
      </c>
      <c r="B26" s="277">
        <v>13946355</v>
      </c>
      <c r="C26" s="277">
        <v>84614</v>
      </c>
      <c r="D26" s="278">
        <v>1.1000000000000001</v>
      </c>
      <c r="E26" s="278">
        <v>6.7</v>
      </c>
    </row>
    <row r="27" spans="1:5" ht="16.5" customHeight="1" x14ac:dyDescent="0.3">
      <c r="A27" s="276">
        <v>4</v>
      </c>
      <c r="B27" s="277">
        <v>14032825</v>
      </c>
      <c r="C27" s="277">
        <v>84136.4</v>
      </c>
      <c r="D27" s="278">
        <v>1.1000000000000001</v>
      </c>
      <c r="E27" s="278">
        <v>6.7</v>
      </c>
    </row>
    <row r="28" spans="1:5" ht="16.5" customHeight="1" x14ac:dyDescent="0.3">
      <c r="A28" s="276">
        <v>5</v>
      </c>
      <c r="B28" s="277">
        <v>14280006</v>
      </c>
      <c r="C28" s="277">
        <v>84412.9</v>
      </c>
      <c r="D28" s="278">
        <v>1.1000000000000001</v>
      </c>
      <c r="E28" s="278">
        <v>6.7</v>
      </c>
    </row>
    <row r="29" spans="1:5" ht="16.5" customHeight="1" x14ac:dyDescent="0.3">
      <c r="A29" s="276">
        <v>6</v>
      </c>
      <c r="B29" s="280">
        <v>13942954</v>
      </c>
      <c r="C29" s="280">
        <v>84005.7</v>
      </c>
      <c r="D29" s="281">
        <v>1.1000000000000001</v>
      </c>
      <c r="E29" s="281">
        <v>6.7</v>
      </c>
    </row>
    <row r="30" spans="1:5" ht="16.5" customHeight="1" x14ac:dyDescent="0.3">
      <c r="A30" s="282" t="s">
        <v>18</v>
      </c>
      <c r="B30" s="283">
        <f>AVERAGE(B24:B29)</f>
        <v>13971298.666666666</v>
      </c>
      <c r="C30" s="284">
        <f>AVERAGE(C24:C29)</f>
        <v>84260.21666666666</v>
      </c>
      <c r="D30" s="285">
        <f>AVERAGE(D24:D29)</f>
        <v>1.0999999999999999</v>
      </c>
      <c r="E30" s="285">
        <f>AVERAGE(E24:E29)</f>
        <v>6.7</v>
      </c>
    </row>
    <row r="31" spans="1:5" ht="16.5" customHeight="1" x14ac:dyDescent="0.3">
      <c r="A31" s="286" t="s">
        <v>19</v>
      </c>
      <c r="B31" s="287">
        <f>(STDEV(B24:B29)/B30)</f>
        <v>1.2440849892013869E-2</v>
      </c>
      <c r="C31" s="288"/>
      <c r="D31" s="288"/>
      <c r="E31" s="289"/>
    </row>
    <row r="32" spans="1:5" s="262" customFormat="1" ht="16.5" customHeight="1" x14ac:dyDescent="0.3">
      <c r="A32" s="290" t="s">
        <v>20</v>
      </c>
      <c r="B32" s="291">
        <f>COUNT(B24:B29)</f>
        <v>6</v>
      </c>
      <c r="C32" s="292"/>
      <c r="D32" s="293"/>
      <c r="E32" s="294"/>
    </row>
    <row r="33" spans="1:5" s="262" customFormat="1" ht="15.75" customHeight="1" x14ac:dyDescent="0.25">
      <c r="A33" s="269"/>
      <c r="B33" s="269"/>
      <c r="C33" s="269"/>
      <c r="D33" s="269"/>
      <c r="E33" s="269"/>
    </row>
    <row r="34" spans="1:5" s="262" customFormat="1" ht="16.5" customHeight="1" x14ac:dyDescent="0.3">
      <c r="A34" s="270" t="s">
        <v>21</v>
      </c>
      <c r="B34" s="295" t="s">
        <v>142</v>
      </c>
      <c r="C34" s="296"/>
      <c r="D34" s="296"/>
      <c r="E34" s="296"/>
    </row>
    <row r="35" spans="1:5" ht="16.5" customHeight="1" x14ac:dyDescent="0.3">
      <c r="A35" s="270"/>
      <c r="B35" s="295" t="s">
        <v>143</v>
      </c>
      <c r="C35" s="296"/>
      <c r="D35" s="296"/>
      <c r="E35" s="296"/>
    </row>
    <row r="36" spans="1:5" ht="16.5" customHeight="1" x14ac:dyDescent="0.3">
      <c r="A36" s="270"/>
      <c r="B36" s="295" t="s">
        <v>144</v>
      </c>
      <c r="C36" s="296"/>
      <c r="D36" s="296"/>
      <c r="E36" s="296"/>
    </row>
    <row r="37" spans="1:5" ht="15.75" customHeight="1" x14ac:dyDescent="0.25">
      <c r="A37" s="269"/>
      <c r="B37" s="269"/>
      <c r="C37" s="269"/>
      <c r="D37" s="269"/>
      <c r="E37" s="269"/>
    </row>
    <row r="38" spans="1:5" ht="16.5" customHeight="1" x14ac:dyDescent="0.3">
      <c r="A38" s="265" t="s">
        <v>1</v>
      </c>
      <c r="B38" s="266" t="s">
        <v>25</v>
      </c>
    </row>
    <row r="39" spans="1:5" ht="16.5" customHeight="1" x14ac:dyDescent="0.3">
      <c r="A39" s="270" t="s">
        <v>4</v>
      </c>
      <c r="B39" s="297" t="str">
        <f>B18</f>
        <v>Tenofovir Disoproxil Fumarate</v>
      </c>
      <c r="C39" s="269"/>
      <c r="D39" s="269"/>
      <c r="E39" s="269"/>
    </row>
    <row r="40" spans="1:5" ht="16.5" customHeight="1" x14ac:dyDescent="0.3">
      <c r="A40" s="270" t="s">
        <v>6</v>
      </c>
      <c r="B40" s="271">
        <f>B19</f>
        <v>98.8</v>
      </c>
      <c r="C40" s="269"/>
      <c r="D40" s="269"/>
      <c r="E40" s="269"/>
    </row>
    <row r="41" spans="1:5" ht="16.5" customHeight="1" x14ac:dyDescent="0.3">
      <c r="A41" s="267" t="s">
        <v>8</v>
      </c>
      <c r="B41" s="271">
        <v>13.02</v>
      </c>
      <c r="C41" s="269"/>
      <c r="D41" s="269"/>
      <c r="E41" s="269"/>
    </row>
    <row r="42" spans="1:5" ht="16.5" customHeight="1" x14ac:dyDescent="0.3">
      <c r="A42" s="267" t="s">
        <v>10</v>
      </c>
      <c r="B42" s="273">
        <f>B41/50</f>
        <v>0.26039999999999996</v>
      </c>
      <c r="C42" s="269"/>
      <c r="D42" s="269"/>
      <c r="E42" s="269"/>
    </row>
    <row r="43" spans="1:5" ht="15.75" customHeight="1" x14ac:dyDescent="0.25">
      <c r="A43" s="269"/>
      <c r="B43" s="269"/>
      <c r="C43" s="269"/>
      <c r="D43" s="269"/>
      <c r="E43" s="269"/>
    </row>
    <row r="44" spans="1:5" ht="16.5" customHeight="1" x14ac:dyDescent="0.3">
      <c r="A44" s="274" t="s">
        <v>13</v>
      </c>
      <c r="B44" s="275" t="s">
        <v>14</v>
      </c>
      <c r="C44" s="274" t="s">
        <v>15</v>
      </c>
      <c r="D44" s="274" t="s">
        <v>16</v>
      </c>
      <c r="E44" s="274" t="s">
        <v>17</v>
      </c>
    </row>
    <row r="45" spans="1:5" ht="16.5" customHeight="1" x14ac:dyDescent="0.3">
      <c r="A45" s="276">
        <v>1</v>
      </c>
      <c r="B45" s="277">
        <v>60515392</v>
      </c>
      <c r="C45" s="277">
        <v>122355</v>
      </c>
      <c r="D45" s="278">
        <v>1.1000000000000001</v>
      </c>
      <c r="E45" s="279">
        <v>6.8</v>
      </c>
    </row>
    <row r="46" spans="1:5" ht="16.5" customHeight="1" x14ac:dyDescent="0.3">
      <c r="A46" s="276">
        <v>2</v>
      </c>
      <c r="B46" s="277">
        <v>60718249</v>
      </c>
      <c r="C46" s="277">
        <v>121063.6</v>
      </c>
      <c r="D46" s="278">
        <v>1.1000000000000001</v>
      </c>
      <c r="E46" s="278">
        <v>6.8</v>
      </c>
    </row>
    <row r="47" spans="1:5" ht="16.5" customHeight="1" x14ac:dyDescent="0.3">
      <c r="A47" s="276">
        <v>3</v>
      </c>
      <c r="B47" s="277">
        <v>60659300</v>
      </c>
      <c r="C47" s="277">
        <v>122629.6</v>
      </c>
      <c r="D47" s="278">
        <v>1.1000000000000001</v>
      </c>
      <c r="E47" s="278">
        <v>6.8</v>
      </c>
    </row>
    <row r="48" spans="1:5" ht="16.5" customHeight="1" x14ac:dyDescent="0.3">
      <c r="A48" s="276">
        <v>4</v>
      </c>
      <c r="B48" s="277">
        <v>60456985</v>
      </c>
      <c r="C48" s="277">
        <v>121718.5</v>
      </c>
      <c r="D48" s="278">
        <v>1</v>
      </c>
      <c r="E48" s="278">
        <v>6.8</v>
      </c>
    </row>
    <row r="49" spans="1:7" ht="16.5" customHeight="1" x14ac:dyDescent="0.3">
      <c r="A49" s="276">
        <v>5</v>
      </c>
      <c r="B49" s="277">
        <v>60494185</v>
      </c>
      <c r="C49" s="277">
        <v>121932.9</v>
      </c>
      <c r="D49" s="278">
        <v>1.1000000000000001</v>
      </c>
      <c r="E49" s="278">
        <v>6.8</v>
      </c>
    </row>
    <row r="50" spans="1:7" ht="16.5" customHeight="1" x14ac:dyDescent="0.3">
      <c r="A50" s="276">
        <v>6</v>
      </c>
      <c r="B50" s="280">
        <v>60473296</v>
      </c>
      <c r="C50" s="280">
        <v>120772.3</v>
      </c>
      <c r="D50" s="281">
        <v>1.1000000000000001</v>
      </c>
      <c r="E50" s="281">
        <v>6.8</v>
      </c>
    </row>
    <row r="51" spans="1:7" ht="16.5" customHeight="1" x14ac:dyDescent="0.3">
      <c r="A51" s="282" t="s">
        <v>18</v>
      </c>
      <c r="B51" s="283">
        <f>AVERAGE(B45:B50)</f>
        <v>60552901.166666664</v>
      </c>
      <c r="C51" s="284">
        <f>AVERAGE(C45:C50)</f>
        <v>121745.31666666667</v>
      </c>
      <c r="D51" s="285">
        <f>AVERAGE(D45:D50)</f>
        <v>1.0833333333333333</v>
      </c>
      <c r="E51" s="285">
        <f>AVERAGE(E45:E50)</f>
        <v>6.8</v>
      </c>
    </row>
    <row r="52" spans="1:7" ht="16.5" customHeight="1" x14ac:dyDescent="0.3">
      <c r="A52" s="286" t="s">
        <v>19</v>
      </c>
      <c r="B52" s="287">
        <f>(STDEV(B45:B50)/B51)</f>
        <v>1.794723230672961E-3</v>
      </c>
      <c r="C52" s="288"/>
      <c r="D52" s="288"/>
      <c r="E52" s="289"/>
    </row>
    <row r="53" spans="1:7" s="262" customFormat="1" ht="16.5" customHeight="1" x14ac:dyDescent="0.3">
      <c r="A53" s="290" t="s">
        <v>20</v>
      </c>
      <c r="B53" s="291">
        <f>COUNT(B45:B50)</f>
        <v>6</v>
      </c>
      <c r="C53" s="292"/>
      <c r="D53" s="293"/>
      <c r="E53" s="294"/>
    </row>
    <row r="54" spans="1:7" s="262" customFormat="1" ht="15.75" customHeight="1" x14ac:dyDescent="0.25">
      <c r="A54" s="269"/>
      <c r="B54" s="269"/>
      <c r="C54" s="269"/>
      <c r="D54" s="269"/>
      <c r="E54" s="269"/>
    </row>
    <row r="55" spans="1:7" s="262" customFormat="1" ht="16.5" customHeight="1" x14ac:dyDescent="0.3">
      <c r="A55" s="270" t="s">
        <v>21</v>
      </c>
      <c r="B55" s="295" t="s">
        <v>142</v>
      </c>
      <c r="C55" s="296"/>
      <c r="D55" s="296"/>
      <c r="E55" s="296"/>
    </row>
    <row r="56" spans="1:7" ht="16.5" customHeight="1" x14ac:dyDescent="0.3">
      <c r="A56" s="270"/>
      <c r="B56" s="295" t="s">
        <v>143</v>
      </c>
      <c r="C56" s="296"/>
      <c r="D56" s="296"/>
      <c r="E56" s="296"/>
    </row>
    <row r="57" spans="1:7" ht="16.5" customHeight="1" x14ac:dyDescent="0.3">
      <c r="A57" s="270"/>
      <c r="B57" s="295" t="s">
        <v>144</v>
      </c>
      <c r="C57" s="296"/>
      <c r="D57" s="296"/>
      <c r="E57" s="296"/>
    </row>
    <row r="58" spans="1:7" ht="14.25" customHeight="1" thickBot="1" x14ac:dyDescent="0.3">
      <c r="A58" s="298"/>
      <c r="B58" s="299"/>
      <c r="D58" s="300"/>
      <c r="F58" s="301"/>
      <c r="G58" s="301"/>
    </row>
    <row r="59" spans="1:7" ht="15" customHeight="1" x14ac:dyDescent="0.3">
      <c r="B59" s="302" t="s">
        <v>26</v>
      </c>
      <c r="C59" s="302"/>
      <c r="E59" s="303" t="s">
        <v>27</v>
      </c>
      <c r="F59" s="304"/>
      <c r="G59" s="303" t="s">
        <v>28</v>
      </c>
    </row>
    <row r="60" spans="1:7" ht="15" customHeight="1" x14ac:dyDescent="0.3">
      <c r="A60" s="305" t="s">
        <v>29</v>
      </c>
      <c r="B60" s="306" t="s">
        <v>145</v>
      </c>
      <c r="C60" s="306"/>
      <c r="E60" s="306"/>
      <c r="G60" s="306"/>
    </row>
    <row r="61" spans="1:7" ht="15" customHeight="1" x14ac:dyDescent="0.3">
      <c r="A61" s="305" t="s">
        <v>30</v>
      </c>
      <c r="B61" s="307"/>
      <c r="C61" s="307"/>
      <c r="E61" s="307"/>
      <c r="G61" s="30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B20" sqref="B20"/>
    </sheetView>
  </sheetViews>
  <sheetFormatPr defaultRowHeight="13.5" x14ac:dyDescent="0.25"/>
  <cols>
    <col min="1" max="1" width="27.5703125" style="310" customWidth="1"/>
    <col min="2" max="2" width="20.42578125" style="310" customWidth="1"/>
    <col min="3" max="3" width="31.85546875" style="310" customWidth="1"/>
    <col min="4" max="4" width="25.85546875" style="310" customWidth="1"/>
    <col min="5" max="5" width="25.7109375" style="310" customWidth="1"/>
    <col min="6" max="6" width="23.140625" style="310" customWidth="1"/>
    <col min="7" max="7" width="28.42578125" style="310" customWidth="1"/>
    <col min="8" max="8" width="21.5703125" style="310" customWidth="1"/>
    <col min="9" max="9" width="9.140625" style="310" customWidth="1"/>
    <col min="10" max="16384" width="9.140625" style="301"/>
  </cols>
  <sheetData>
    <row r="14" spans="1:6" ht="15" customHeight="1" x14ac:dyDescent="0.3">
      <c r="A14" s="309"/>
      <c r="C14" s="311"/>
      <c r="F14" s="311"/>
    </row>
    <row r="15" spans="1:6" ht="18.75" customHeight="1" x14ac:dyDescent="0.3">
      <c r="A15" s="312" t="s">
        <v>0</v>
      </c>
      <c r="B15" s="312"/>
      <c r="C15" s="312"/>
      <c r="D15" s="312"/>
      <c r="E15" s="312"/>
    </row>
    <row r="16" spans="1:6" ht="16.5" customHeight="1" x14ac:dyDescent="0.3">
      <c r="A16" s="313" t="s">
        <v>1</v>
      </c>
      <c r="B16" s="314" t="s">
        <v>2</v>
      </c>
    </row>
    <row r="17" spans="1:5" ht="16.5" customHeight="1" x14ac:dyDescent="0.3">
      <c r="A17" s="315" t="s">
        <v>3</v>
      </c>
      <c r="B17" s="315" t="s">
        <v>146</v>
      </c>
      <c r="D17" s="272"/>
      <c r="E17" s="316"/>
    </row>
    <row r="18" spans="1:5" ht="16.5" customHeight="1" x14ac:dyDescent="0.3">
      <c r="A18" s="317" t="s">
        <v>4</v>
      </c>
      <c r="B18" s="318" t="s">
        <v>136</v>
      </c>
      <c r="C18" s="316"/>
      <c r="D18" s="316"/>
      <c r="E18" s="316"/>
    </row>
    <row r="19" spans="1:5" ht="16.5" customHeight="1" x14ac:dyDescent="0.3">
      <c r="A19" s="317" t="s">
        <v>6</v>
      </c>
      <c r="B19" s="319">
        <v>99.8</v>
      </c>
      <c r="C19" s="316"/>
      <c r="D19" s="316"/>
      <c r="E19" s="316"/>
    </row>
    <row r="20" spans="1:5" ht="16.5" customHeight="1" x14ac:dyDescent="0.3">
      <c r="A20" s="315" t="s">
        <v>8</v>
      </c>
      <c r="B20" s="319">
        <f>'Lamivudine '!D43</f>
        <v>14.88</v>
      </c>
      <c r="C20" s="316"/>
      <c r="D20" s="316"/>
      <c r="E20" s="316"/>
    </row>
    <row r="21" spans="1:5" ht="16.5" customHeight="1" x14ac:dyDescent="0.3">
      <c r="A21" s="315" t="s">
        <v>10</v>
      </c>
      <c r="B21" s="320">
        <f>B20/10*4/50</f>
        <v>0.11903999999999999</v>
      </c>
      <c r="C21" s="316"/>
      <c r="D21" s="316"/>
      <c r="E21" s="316"/>
    </row>
    <row r="22" spans="1:5" ht="15.75" customHeight="1" x14ac:dyDescent="0.25">
      <c r="A22" s="316"/>
      <c r="B22" s="316"/>
      <c r="C22" s="316"/>
      <c r="D22" s="316"/>
      <c r="E22" s="316"/>
    </row>
    <row r="23" spans="1:5" ht="16.5" customHeight="1" x14ac:dyDescent="0.3">
      <c r="A23" s="321" t="s">
        <v>13</v>
      </c>
      <c r="B23" s="322" t="s">
        <v>14</v>
      </c>
      <c r="C23" s="321" t="s">
        <v>15</v>
      </c>
      <c r="D23" s="321" t="s">
        <v>16</v>
      </c>
      <c r="E23" s="321" t="s">
        <v>17</v>
      </c>
    </row>
    <row r="24" spans="1:5" ht="16.5" customHeight="1" x14ac:dyDescent="0.3">
      <c r="A24" s="323">
        <v>1</v>
      </c>
      <c r="B24" s="324">
        <v>29633498</v>
      </c>
      <c r="C24" s="324">
        <v>10998.5</v>
      </c>
      <c r="D24" s="325">
        <v>1.2</v>
      </c>
      <c r="E24" s="326">
        <v>2.2000000000000002</v>
      </c>
    </row>
    <row r="25" spans="1:5" ht="16.5" customHeight="1" x14ac:dyDescent="0.3">
      <c r="A25" s="323">
        <v>2</v>
      </c>
      <c r="B25" s="324">
        <v>29659919</v>
      </c>
      <c r="C25" s="324">
        <v>11208.2</v>
      </c>
      <c r="D25" s="325">
        <v>1.2</v>
      </c>
      <c r="E25" s="325">
        <v>2.2000000000000002</v>
      </c>
    </row>
    <row r="26" spans="1:5" ht="16.5" customHeight="1" x14ac:dyDescent="0.3">
      <c r="A26" s="323">
        <v>3</v>
      </c>
      <c r="B26" s="324">
        <v>29916922</v>
      </c>
      <c r="C26" s="324">
        <v>11263.8</v>
      </c>
      <c r="D26" s="325">
        <v>1.2</v>
      </c>
      <c r="E26" s="325">
        <v>2.2000000000000002</v>
      </c>
    </row>
    <row r="27" spans="1:5" ht="16.5" customHeight="1" x14ac:dyDescent="0.3">
      <c r="A27" s="323">
        <v>4</v>
      </c>
      <c r="B27" s="324">
        <v>30094863</v>
      </c>
      <c r="C27" s="324">
        <v>11051.6</v>
      </c>
      <c r="D27" s="325">
        <v>1.2</v>
      </c>
      <c r="E27" s="325">
        <v>2.2000000000000002</v>
      </c>
    </row>
    <row r="28" spans="1:5" ht="16.5" customHeight="1" x14ac:dyDescent="0.3">
      <c r="A28" s="323">
        <v>5</v>
      </c>
      <c r="B28" s="324">
        <v>30623382</v>
      </c>
      <c r="C28" s="324">
        <v>11055.2</v>
      </c>
      <c r="D28" s="325">
        <v>1.1000000000000001</v>
      </c>
      <c r="E28" s="325">
        <v>2.2000000000000002</v>
      </c>
    </row>
    <row r="29" spans="1:5" ht="16.5" customHeight="1" x14ac:dyDescent="0.3">
      <c r="A29" s="323">
        <v>6</v>
      </c>
      <c r="B29" s="327">
        <v>29913380</v>
      </c>
      <c r="C29" s="327">
        <v>10913.4</v>
      </c>
      <c r="D29" s="328">
        <v>1.1000000000000001</v>
      </c>
      <c r="E29" s="328">
        <v>2.2000000000000002</v>
      </c>
    </row>
    <row r="30" spans="1:5" ht="16.5" customHeight="1" x14ac:dyDescent="0.3">
      <c r="A30" s="329" t="s">
        <v>18</v>
      </c>
      <c r="B30" s="330">
        <f>AVERAGE(B24:B29)</f>
        <v>29973660.666666668</v>
      </c>
      <c r="C30" s="331">
        <f>AVERAGE(C24:C29)</f>
        <v>11081.783333333333</v>
      </c>
      <c r="D30" s="332">
        <f>AVERAGE(D24:D29)</f>
        <v>1.1666666666666667</v>
      </c>
      <c r="E30" s="332">
        <f>AVERAGE(E24:E29)</f>
        <v>2.1999999999999997</v>
      </c>
    </row>
    <row r="31" spans="1:5" ht="16.5" customHeight="1" x14ac:dyDescent="0.3">
      <c r="A31" s="333" t="s">
        <v>19</v>
      </c>
      <c r="B31" s="334">
        <f>(STDEV(B24:B29)/B30)</f>
        <v>1.2101257601495906E-2</v>
      </c>
      <c r="C31" s="335"/>
      <c r="D31" s="335"/>
      <c r="E31" s="336"/>
    </row>
    <row r="32" spans="1:5" s="310" customFormat="1" ht="16.5" customHeight="1" x14ac:dyDescent="0.3">
      <c r="A32" s="337" t="s">
        <v>20</v>
      </c>
      <c r="B32" s="338">
        <f>COUNT(B24:B29)</f>
        <v>6</v>
      </c>
      <c r="C32" s="339"/>
      <c r="D32" s="340"/>
      <c r="E32" s="341"/>
    </row>
    <row r="33" spans="1:5" s="310" customFormat="1" ht="15.75" customHeight="1" x14ac:dyDescent="0.25">
      <c r="A33" s="316"/>
      <c r="B33" s="316"/>
      <c r="C33" s="316"/>
      <c r="D33" s="316"/>
      <c r="E33" s="316"/>
    </row>
    <row r="34" spans="1:5" s="310" customFormat="1" ht="16.5" customHeight="1" x14ac:dyDescent="0.3">
      <c r="A34" s="317" t="s">
        <v>21</v>
      </c>
      <c r="B34" s="342" t="s">
        <v>22</v>
      </c>
      <c r="C34" s="343"/>
      <c r="D34" s="343"/>
      <c r="E34" s="343"/>
    </row>
    <row r="35" spans="1:5" ht="16.5" customHeight="1" x14ac:dyDescent="0.3">
      <c r="A35" s="317"/>
      <c r="B35" s="342" t="s">
        <v>23</v>
      </c>
      <c r="C35" s="343"/>
      <c r="D35" s="343"/>
      <c r="E35" s="343"/>
    </row>
    <row r="36" spans="1:5" ht="16.5" customHeight="1" x14ac:dyDescent="0.3">
      <c r="A36" s="317"/>
      <c r="B36" s="342" t="s">
        <v>24</v>
      </c>
      <c r="C36" s="343"/>
      <c r="D36" s="343"/>
      <c r="E36" s="343"/>
    </row>
    <row r="37" spans="1:5" ht="15.75" customHeight="1" x14ac:dyDescent="0.25">
      <c r="A37" s="316"/>
      <c r="B37" s="316"/>
      <c r="C37" s="316"/>
      <c r="D37" s="316"/>
      <c r="E37" s="316"/>
    </row>
    <row r="38" spans="1:5" ht="16.5" customHeight="1" x14ac:dyDescent="0.3">
      <c r="A38" s="313" t="s">
        <v>1</v>
      </c>
      <c r="B38" s="314" t="s">
        <v>25</v>
      </c>
    </row>
    <row r="39" spans="1:5" ht="16.5" customHeight="1" x14ac:dyDescent="0.3">
      <c r="A39" s="317" t="s">
        <v>4</v>
      </c>
      <c r="B39" s="315" t="str">
        <f>B18</f>
        <v>Lamivudine</v>
      </c>
      <c r="C39" s="316"/>
      <c r="D39" s="316"/>
      <c r="E39" s="316"/>
    </row>
    <row r="40" spans="1:5" ht="16.5" customHeight="1" x14ac:dyDescent="0.3">
      <c r="A40" s="317" t="s">
        <v>6</v>
      </c>
      <c r="B40" s="319">
        <f>[1]Lamivudine!B28</f>
        <v>99.3</v>
      </c>
      <c r="C40" s="316"/>
      <c r="D40" s="316"/>
      <c r="E40" s="316"/>
    </row>
    <row r="41" spans="1:5" ht="16.5" customHeight="1" x14ac:dyDescent="0.3">
      <c r="A41" s="315" t="s">
        <v>8</v>
      </c>
      <c r="B41" s="319">
        <v>12.88</v>
      </c>
      <c r="C41" s="316"/>
      <c r="D41" s="316"/>
      <c r="E41" s="316"/>
    </row>
    <row r="42" spans="1:5" ht="16.5" customHeight="1" x14ac:dyDescent="0.3">
      <c r="A42" s="315" t="s">
        <v>10</v>
      </c>
      <c r="B42" s="320">
        <f>B41/50</f>
        <v>0.2576</v>
      </c>
      <c r="C42" s="316"/>
      <c r="D42" s="316"/>
      <c r="E42" s="316"/>
    </row>
    <row r="43" spans="1:5" ht="15.75" customHeight="1" x14ac:dyDescent="0.25">
      <c r="A43" s="316"/>
      <c r="B43" s="316"/>
      <c r="C43" s="316"/>
      <c r="D43" s="316"/>
      <c r="E43" s="316"/>
    </row>
    <row r="44" spans="1:5" ht="16.5" customHeight="1" x14ac:dyDescent="0.3">
      <c r="A44" s="321" t="s">
        <v>13</v>
      </c>
      <c r="B44" s="322" t="s">
        <v>14</v>
      </c>
      <c r="C44" s="321" t="s">
        <v>15</v>
      </c>
      <c r="D44" s="321" t="s">
        <v>16</v>
      </c>
      <c r="E44" s="321" t="s">
        <v>17</v>
      </c>
    </row>
    <row r="45" spans="1:5" ht="16.5" customHeight="1" x14ac:dyDescent="0.3">
      <c r="A45" s="323">
        <v>1</v>
      </c>
      <c r="B45" s="324">
        <v>42927880</v>
      </c>
      <c r="C45" s="324">
        <v>17497.599999999999</v>
      </c>
      <c r="D45" s="325">
        <v>1.3</v>
      </c>
      <c r="E45" s="326">
        <v>2.6</v>
      </c>
    </row>
    <row r="46" spans="1:5" ht="16.5" customHeight="1" x14ac:dyDescent="0.3">
      <c r="A46" s="323">
        <v>2</v>
      </c>
      <c r="B46" s="324">
        <v>42492230</v>
      </c>
      <c r="C46" s="324">
        <v>17645.5</v>
      </c>
      <c r="D46" s="325">
        <v>1.2</v>
      </c>
      <c r="E46" s="325">
        <v>2.6</v>
      </c>
    </row>
    <row r="47" spans="1:5" ht="16.5" customHeight="1" x14ac:dyDescent="0.3">
      <c r="A47" s="323">
        <v>3</v>
      </c>
      <c r="B47" s="324">
        <v>42541843</v>
      </c>
      <c r="C47" s="324">
        <v>17721.2</v>
      </c>
      <c r="D47" s="325">
        <v>1.2</v>
      </c>
      <c r="E47" s="325">
        <v>2.6</v>
      </c>
    </row>
    <row r="48" spans="1:5" ht="16.5" customHeight="1" x14ac:dyDescent="0.3">
      <c r="A48" s="323">
        <v>4</v>
      </c>
      <c r="B48" s="324">
        <v>42463639</v>
      </c>
      <c r="C48" s="324">
        <v>17633.099999999999</v>
      </c>
      <c r="D48" s="325">
        <v>1.2</v>
      </c>
      <c r="E48" s="325">
        <v>2.6</v>
      </c>
    </row>
    <row r="49" spans="1:7" ht="16.5" customHeight="1" x14ac:dyDescent="0.3">
      <c r="A49" s="323">
        <v>5</v>
      </c>
      <c r="B49" s="324">
        <v>43052804</v>
      </c>
      <c r="C49" s="324">
        <v>17612.5</v>
      </c>
      <c r="D49" s="325">
        <v>1.2</v>
      </c>
      <c r="E49" s="325">
        <v>2.6</v>
      </c>
    </row>
    <row r="50" spans="1:7" ht="16.5" customHeight="1" x14ac:dyDescent="0.3">
      <c r="A50" s="323">
        <v>6</v>
      </c>
      <c r="B50" s="327">
        <v>42590464</v>
      </c>
      <c r="C50" s="327">
        <v>17621.400000000001</v>
      </c>
      <c r="D50" s="328">
        <v>1.2</v>
      </c>
      <c r="E50" s="328">
        <v>2.6</v>
      </c>
    </row>
    <row r="51" spans="1:7" ht="16.5" customHeight="1" x14ac:dyDescent="0.3">
      <c r="A51" s="329" t="s">
        <v>18</v>
      </c>
      <c r="B51" s="330">
        <f>AVERAGE(B45:B50)</f>
        <v>42678143.333333336</v>
      </c>
      <c r="C51" s="331">
        <f>AVERAGE(C45:C50)</f>
        <v>17621.883333333331</v>
      </c>
      <c r="D51" s="332">
        <f>AVERAGE(D45:D50)</f>
        <v>1.2166666666666668</v>
      </c>
      <c r="E51" s="332">
        <f>AVERAGE(E45:E50)</f>
        <v>2.6</v>
      </c>
    </row>
    <row r="52" spans="1:7" ht="16.5" customHeight="1" x14ac:dyDescent="0.3">
      <c r="A52" s="333" t="s">
        <v>19</v>
      </c>
      <c r="B52" s="334">
        <f>(STDEV(B45:B50)/B51)</f>
        <v>5.8303706820988233E-3</v>
      </c>
      <c r="C52" s="335"/>
      <c r="D52" s="335"/>
      <c r="E52" s="336"/>
    </row>
    <row r="53" spans="1:7" s="310" customFormat="1" ht="16.5" customHeight="1" x14ac:dyDescent="0.3">
      <c r="A53" s="337" t="s">
        <v>20</v>
      </c>
      <c r="B53" s="338">
        <f>COUNT(B45:B50)</f>
        <v>6</v>
      </c>
      <c r="C53" s="339"/>
      <c r="D53" s="340"/>
      <c r="E53" s="341"/>
    </row>
    <row r="54" spans="1:7" s="310" customFormat="1" ht="15.75" customHeight="1" x14ac:dyDescent="0.25">
      <c r="A54" s="316"/>
      <c r="B54" s="316"/>
      <c r="C54" s="316"/>
      <c r="D54" s="316"/>
      <c r="E54" s="316"/>
    </row>
    <row r="55" spans="1:7" s="310" customFormat="1" ht="16.5" customHeight="1" x14ac:dyDescent="0.3">
      <c r="A55" s="317" t="s">
        <v>21</v>
      </c>
      <c r="B55" s="342" t="s">
        <v>22</v>
      </c>
      <c r="C55" s="343"/>
      <c r="D55" s="343"/>
      <c r="E55" s="343"/>
    </row>
    <row r="56" spans="1:7" ht="16.5" customHeight="1" x14ac:dyDescent="0.3">
      <c r="A56" s="317"/>
      <c r="B56" s="342" t="s">
        <v>23</v>
      </c>
      <c r="C56" s="343"/>
      <c r="D56" s="343"/>
      <c r="E56" s="343"/>
    </row>
    <row r="57" spans="1:7" ht="16.5" customHeight="1" x14ac:dyDescent="0.3">
      <c r="A57" s="317"/>
      <c r="B57" s="342" t="s">
        <v>24</v>
      </c>
      <c r="C57" s="343"/>
      <c r="D57" s="343"/>
      <c r="E57" s="343"/>
    </row>
    <row r="58" spans="1:7" ht="14.25" customHeight="1" thickBot="1" x14ac:dyDescent="0.3">
      <c r="A58" s="344"/>
      <c r="B58" s="345"/>
      <c r="D58" s="346"/>
      <c r="F58" s="301"/>
      <c r="G58" s="301"/>
    </row>
    <row r="59" spans="1:7" ht="15" customHeight="1" x14ac:dyDescent="0.3">
      <c r="B59" s="347" t="s">
        <v>26</v>
      </c>
      <c r="C59" s="347"/>
      <c r="E59" s="348" t="s">
        <v>27</v>
      </c>
      <c r="F59" s="349"/>
      <c r="G59" s="348" t="s">
        <v>28</v>
      </c>
    </row>
    <row r="60" spans="1:7" ht="15" customHeight="1" x14ac:dyDescent="0.3">
      <c r="A60" s="350" t="s">
        <v>29</v>
      </c>
      <c r="B60" s="351" t="s">
        <v>145</v>
      </c>
      <c r="C60" s="351"/>
      <c r="E60" s="351"/>
      <c r="G60" s="351"/>
    </row>
    <row r="61" spans="1:7" ht="15" customHeight="1" x14ac:dyDescent="0.3">
      <c r="A61" s="350" t="s">
        <v>30</v>
      </c>
      <c r="B61" s="352"/>
      <c r="C61" s="352"/>
      <c r="E61" s="352"/>
      <c r="G61" s="3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0" sqref="B20"/>
    </sheetView>
  </sheetViews>
  <sheetFormatPr defaultRowHeight="13.5" x14ac:dyDescent="0.25"/>
  <cols>
    <col min="1" max="1" width="27.5703125" style="310" customWidth="1"/>
    <col min="2" max="2" width="20.42578125" style="310" customWidth="1"/>
    <col min="3" max="3" width="31.85546875" style="310" customWidth="1"/>
    <col min="4" max="4" width="25.85546875" style="310" customWidth="1"/>
    <col min="5" max="5" width="25.7109375" style="310" customWidth="1"/>
    <col min="6" max="6" width="23.140625" style="310" customWidth="1"/>
    <col min="7" max="7" width="28.42578125" style="310" customWidth="1"/>
    <col min="8" max="8" width="21.5703125" style="310" customWidth="1"/>
    <col min="9" max="9" width="9.140625" style="310" customWidth="1"/>
    <col min="10" max="16384" width="9.140625" style="301"/>
  </cols>
  <sheetData>
    <row r="14" spans="1:6" ht="15" customHeight="1" x14ac:dyDescent="0.3">
      <c r="A14" s="309"/>
      <c r="C14" s="311"/>
      <c r="F14" s="311"/>
    </row>
    <row r="15" spans="1:6" ht="18.75" customHeight="1" x14ac:dyDescent="0.3">
      <c r="A15" s="312" t="s">
        <v>0</v>
      </c>
      <c r="B15" s="312"/>
      <c r="C15" s="312"/>
      <c r="D15" s="312"/>
      <c r="E15" s="312"/>
    </row>
    <row r="16" spans="1:6" ht="16.5" customHeight="1" x14ac:dyDescent="0.3">
      <c r="A16" s="313" t="s">
        <v>1</v>
      </c>
      <c r="B16" s="314" t="s">
        <v>2</v>
      </c>
    </row>
    <row r="17" spans="1:5" ht="16.5" customHeight="1" x14ac:dyDescent="0.3">
      <c r="A17" s="315" t="s">
        <v>3</v>
      </c>
      <c r="B17" s="315" t="s">
        <v>131</v>
      </c>
      <c r="D17" s="272"/>
      <c r="E17" s="316"/>
    </row>
    <row r="18" spans="1:5" ht="16.5" customHeight="1" x14ac:dyDescent="0.3">
      <c r="A18" s="317" t="s">
        <v>4</v>
      </c>
      <c r="B18" s="318" t="s">
        <v>132</v>
      </c>
      <c r="C18" s="316"/>
      <c r="D18" s="316"/>
      <c r="E18" s="316"/>
    </row>
    <row r="19" spans="1:5" ht="16.5" customHeight="1" x14ac:dyDescent="0.3">
      <c r="A19" s="317" t="s">
        <v>6</v>
      </c>
      <c r="B19" s="319">
        <v>98.9</v>
      </c>
      <c r="C19" s="316"/>
      <c r="D19" s="316"/>
      <c r="E19" s="316"/>
    </row>
    <row r="20" spans="1:5" ht="16.5" customHeight="1" x14ac:dyDescent="0.3">
      <c r="A20" s="315" t="s">
        <v>8</v>
      </c>
      <c r="B20" s="319">
        <f>Efavirenz!D43</f>
        <v>29.5</v>
      </c>
      <c r="C20" s="316"/>
      <c r="D20" s="316"/>
      <c r="E20" s="316"/>
    </row>
    <row r="21" spans="1:5" ht="16.5" customHeight="1" x14ac:dyDescent="0.3">
      <c r="A21" s="315" t="s">
        <v>10</v>
      </c>
      <c r="B21" s="320">
        <f>B20/10*4/25</f>
        <v>0.47200000000000003</v>
      </c>
      <c r="C21" s="316"/>
      <c r="D21" s="316"/>
      <c r="E21" s="316"/>
    </row>
    <row r="22" spans="1:5" ht="15.75" customHeight="1" x14ac:dyDescent="0.25">
      <c r="A22" s="316"/>
      <c r="B22" s="316"/>
      <c r="C22" s="316"/>
      <c r="D22" s="316"/>
      <c r="E22" s="316"/>
    </row>
    <row r="23" spans="1:5" ht="16.5" customHeight="1" x14ac:dyDescent="0.3">
      <c r="A23" s="321" t="s">
        <v>13</v>
      </c>
      <c r="B23" s="322" t="s">
        <v>14</v>
      </c>
      <c r="C23" s="321" t="s">
        <v>15</v>
      </c>
      <c r="D23" s="321" t="s">
        <v>16</v>
      </c>
      <c r="E23" s="321" t="s">
        <v>17</v>
      </c>
    </row>
    <row r="24" spans="1:5" ht="16.5" customHeight="1" x14ac:dyDescent="0.3">
      <c r="A24" s="323">
        <v>1</v>
      </c>
      <c r="B24" s="362">
        <v>7280337</v>
      </c>
      <c r="C24" s="362">
        <v>64299.7</v>
      </c>
      <c r="D24" s="363">
        <v>1</v>
      </c>
      <c r="E24" s="364">
        <v>8.5</v>
      </c>
    </row>
    <row r="25" spans="1:5" ht="16.5" customHeight="1" x14ac:dyDescent="0.3">
      <c r="A25" s="323">
        <v>2</v>
      </c>
      <c r="B25" s="362">
        <v>7281522</v>
      </c>
      <c r="C25" s="362">
        <v>64702.6</v>
      </c>
      <c r="D25" s="363">
        <v>1</v>
      </c>
      <c r="E25" s="363">
        <v>8.5</v>
      </c>
    </row>
    <row r="26" spans="1:5" ht="16.5" customHeight="1" x14ac:dyDescent="0.3">
      <c r="A26" s="323">
        <v>3</v>
      </c>
      <c r="B26" s="362">
        <v>7351938</v>
      </c>
      <c r="C26" s="362">
        <v>64429.5</v>
      </c>
      <c r="D26" s="363">
        <v>1</v>
      </c>
      <c r="E26" s="363">
        <v>8.5</v>
      </c>
    </row>
    <row r="27" spans="1:5" ht="16.5" customHeight="1" x14ac:dyDescent="0.3">
      <c r="A27" s="323">
        <v>4</v>
      </c>
      <c r="B27" s="362">
        <v>7394498</v>
      </c>
      <c r="C27" s="362">
        <v>63988.3</v>
      </c>
      <c r="D27" s="363">
        <v>1</v>
      </c>
      <c r="E27" s="363">
        <v>8.5</v>
      </c>
    </row>
    <row r="28" spans="1:5" ht="16.5" customHeight="1" x14ac:dyDescent="0.3">
      <c r="A28" s="323">
        <v>5</v>
      </c>
      <c r="B28" s="362">
        <v>7508825</v>
      </c>
      <c r="C28" s="362">
        <v>64602.7</v>
      </c>
      <c r="D28" s="363">
        <v>1</v>
      </c>
      <c r="E28" s="363">
        <v>8.5</v>
      </c>
    </row>
    <row r="29" spans="1:5" ht="16.5" customHeight="1" x14ac:dyDescent="0.3">
      <c r="A29" s="323">
        <v>6</v>
      </c>
      <c r="B29" s="365">
        <v>7338114</v>
      </c>
      <c r="C29" s="365">
        <v>64325.4</v>
      </c>
      <c r="D29" s="366">
        <v>1</v>
      </c>
      <c r="E29" s="366">
        <v>8.5</v>
      </c>
    </row>
    <row r="30" spans="1:5" ht="16.5" customHeight="1" x14ac:dyDescent="0.3">
      <c r="A30" s="329" t="s">
        <v>18</v>
      </c>
      <c r="B30" s="330">
        <f>AVERAGE(B24:B29)</f>
        <v>7359205.666666667</v>
      </c>
      <c r="C30" s="331">
        <f>AVERAGE(C24:C29)</f>
        <v>64391.366666666669</v>
      </c>
      <c r="D30" s="332">
        <f>AVERAGE(D24:D29)</f>
        <v>1</v>
      </c>
      <c r="E30" s="332">
        <f>AVERAGE(E24:E29)</f>
        <v>8.5</v>
      </c>
    </row>
    <row r="31" spans="1:5" ht="16.5" customHeight="1" x14ac:dyDescent="0.3">
      <c r="A31" s="333" t="s">
        <v>19</v>
      </c>
      <c r="B31" s="334">
        <f>(STDEV(B24:B29)/B30)</f>
        <v>1.1591520601416921E-2</v>
      </c>
      <c r="C31" s="335"/>
      <c r="D31" s="335"/>
      <c r="E31" s="336"/>
    </row>
    <row r="32" spans="1:5" s="310" customFormat="1" ht="16.5" customHeight="1" x14ac:dyDescent="0.3">
      <c r="A32" s="337" t="s">
        <v>20</v>
      </c>
      <c r="B32" s="338">
        <f>COUNT(B24:B29)</f>
        <v>6</v>
      </c>
      <c r="C32" s="339"/>
      <c r="D32" s="340"/>
      <c r="E32" s="341"/>
    </row>
    <row r="33" spans="1:5" s="310" customFormat="1" ht="15.75" customHeight="1" x14ac:dyDescent="0.25">
      <c r="A33" s="316"/>
      <c r="B33" s="316"/>
      <c r="C33" s="316"/>
      <c r="D33" s="316"/>
      <c r="E33" s="316"/>
    </row>
    <row r="34" spans="1:5" s="310" customFormat="1" ht="16.5" customHeight="1" x14ac:dyDescent="0.3">
      <c r="A34" s="317" t="s">
        <v>21</v>
      </c>
      <c r="B34" s="342" t="s">
        <v>22</v>
      </c>
      <c r="C34" s="343"/>
      <c r="D34" s="343"/>
      <c r="E34" s="343"/>
    </row>
    <row r="35" spans="1:5" ht="16.5" customHeight="1" x14ac:dyDescent="0.3">
      <c r="A35" s="317"/>
      <c r="B35" s="342" t="s">
        <v>23</v>
      </c>
      <c r="C35" s="343"/>
      <c r="D35" s="343"/>
      <c r="E35" s="343"/>
    </row>
    <row r="36" spans="1:5" ht="16.5" customHeight="1" x14ac:dyDescent="0.3">
      <c r="A36" s="317"/>
      <c r="B36" s="342" t="s">
        <v>24</v>
      </c>
      <c r="C36" s="343"/>
      <c r="D36" s="343"/>
      <c r="E36" s="343"/>
    </row>
    <row r="37" spans="1:5" ht="15.75" customHeight="1" x14ac:dyDescent="0.25">
      <c r="A37" s="316"/>
      <c r="B37" s="316"/>
      <c r="C37" s="316"/>
      <c r="D37" s="316"/>
      <c r="E37" s="316"/>
    </row>
    <row r="38" spans="1:5" ht="16.5" customHeight="1" x14ac:dyDescent="0.3">
      <c r="A38" s="313" t="s">
        <v>1</v>
      </c>
      <c r="B38" s="314" t="s">
        <v>25</v>
      </c>
    </row>
    <row r="39" spans="1:5" ht="16.5" customHeight="1" x14ac:dyDescent="0.3">
      <c r="A39" s="317" t="s">
        <v>4</v>
      </c>
      <c r="B39" s="315" t="str">
        <f>B18</f>
        <v>Efavirenz</v>
      </c>
      <c r="C39" s="316"/>
      <c r="D39" s="316"/>
      <c r="E39" s="316"/>
    </row>
    <row r="40" spans="1:5" ht="16.5" customHeight="1" x14ac:dyDescent="0.3">
      <c r="A40" s="317" t="s">
        <v>6</v>
      </c>
      <c r="B40" s="319">
        <v>99.7</v>
      </c>
      <c r="C40" s="316"/>
      <c r="D40" s="316"/>
      <c r="E40" s="316"/>
    </row>
    <row r="41" spans="1:5" ht="16.5" customHeight="1" x14ac:dyDescent="0.3">
      <c r="A41" s="315" t="s">
        <v>8</v>
      </c>
      <c r="B41" s="319">
        <v>24.69</v>
      </c>
      <c r="C41" s="316"/>
      <c r="D41" s="316"/>
      <c r="E41" s="316"/>
    </row>
    <row r="42" spans="1:5" ht="16.5" customHeight="1" x14ac:dyDescent="0.3">
      <c r="A42" s="315" t="s">
        <v>10</v>
      </c>
      <c r="B42" s="320">
        <f>B41/50</f>
        <v>0.49380000000000002</v>
      </c>
      <c r="C42" s="316"/>
      <c r="D42" s="316"/>
      <c r="E42" s="316"/>
    </row>
    <row r="43" spans="1:5" ht="15.75" customHeight="1" x14ac:dyDescent="0.25">
      <c r="A43" s="316"/>
      <c r="B43" s="316"/>
      <c r="C43" s="316"/>
      <c r="D43" s="316"/>
      <c r="E43" s="316"/>
    </row>
    <row r="44" spans="1:5" ht="16.5" customHeight="1" x14ac:dyDescent="0.3">
      <c r="A44" s="321" t="s">
        <v>13</v>
      </c>
      <c r="B44" s="322" t="s">
        <v>14</v>
      </c>
      <c r="C44" s="321" t="s">
        <v>15</v>
      </c>
      <c r="D44" s="321" t="s">
        <v>16</v>
      </c>
      <c r="E44" s="321" t="s">
        <v>17</v>
      </c>
    </row>
    <row r="45" spans="1:5" ht="16.5" customHeight="1" x14ac:dyDescent="0.3">
      <c r="A45" s="323">
        <v>1</v>
      </c>
      <c r="B45" s="324">
        <v>36668421</v>
      </c>
      <c r="C45" s="324">
        <v>90950.5</v>
      </c>
      <c r="D45" s="325">
        <v>1</v>
      </c>
      <c r="E45" s="326">
        <v>8.1999999999999993</v>
      </c>
    </row>
    <row r="46" spans="1:5" ht="16.5" customHeight="1" x14ac:dyDescent="0.3">
      <c r="A46" s="323">
        <v>2</v>
      </c>
      <c r="B46" s="324">
        <v>36691754</v>
      </c>
      <c r="C46" s="324">
        <v>91479.2</v>
      </c>
      <c r="D46" s="325">
        <v>1.1000000000000001</v>
      </c>
      <c r="E46" s="325">
        <v>8.1999999999999993</v>
      </c>
    </row>
    <row r="47" spans="1:5" ht="16.5" customHeight="1" x14ac:dyDescent="0.3">
      <c r="A47" s="323">
        <v>3</v>
      </c>
      <c r="B47" s="324">
        <v>36723692</v>
      </c>
      <c r="C47" s="324">
        <v>90754.1</v>
      </c>
      <c r="D47" s="325">
        <v>1</v>
      </c>
      <c r="E47" s="325">
        <v>8.1999999999999993</v>
      </c>
    </row>
    <row r="48" spans="1:5" ht="16.5" customHeight="1" x14ac:dyDescent="0.3">
      <c r="A48" s="323">
        <v>4</v>
      </c>
      <c r="B48" s="324">
        <v>36749838</v>
      </c>
      <c r="C48" s="324">
        <v>91202.6</v>
      </c>
      <c r="D48" s="325">
        <v>1</v>
      </c>
      <c r="E48" s="325">
        <v>8.1999999999999993</v>
      </c>
    </row>
    <row r="49" spans="1:7" ht="16.5" customHeight="1" x14ac:dyDescent="0.3">
      <c r="A49" s="323">
        <v>5</v>
      </c>
      <c r="B49" s="324">
        <v>36754871</v>
      </c>
      <c r="C49" s="324">
        <v>90873.7</v>
      </c>
      <c r="D49" s="325">
        <v>1</v>
      </c>
      <c r="E49" s="325">
        <v>8.1999999999999993</v>
      </c>
    </row>
    <row r="50" spans="1:7" ht="16.5" customHeight="1" x14ac:dyDescent="0.3">
      <c r="A50" s="323">
        <v>6</v>
      </c>
      <c r="B50" s="327">
        <v>36743835</v>
      </c>
      <c r="C50" s="327">
        <v>91422.5</v>
      </c>
      <c r="D50" s="328">
        <v>1</v>
      </c>
      <c r="E50" s="328">
        <v>8.1999999999999993</v>
      </c>
    </row>
    <row r="51" spans="1:7" ht="16.5" customHeight="1" x14ac:dyDescent="0.3">
      <c r="A51" s="329" t="s">
        <v>18</v>
      </c>
      <c r="B51" s="330">
        <f>AVERAGE(B45:B50)</f>
        <v>36722068.5</v>
      </c>
      <c r="C51" s="331">
        <f>AVERAGE(C45:C50)</f>
        <v>91113.766666666677</v>
      </c>
      <c r="D51" s="332">
        <f>AVERAGE(D45:D50)</f>
        <v>1.0166666666666666</v>
      </c>
      <c r="E51" s="332">
        <f>AVERAGE(E45:E50)</f>
        <v>8.2000000000000011</v>
      </c>
    </row>
    <row r="52" spans="1:7" ht="16.5" customHeight="1" x14ac:dyDescent="0.3">
      <c r="A52" s="333" t="s">
        <v>19</v>
      </c>
      <c r="B52" s="334">
        <f>(STDEV(B45:B50)/B51)</f>
        <v>9.5276206092348176E-4</v>
      </c>
      <c r="C52" s="335"/>
      <c r="D52" s="335"/>
      <c r="E52" s="336"/>
    </row>
    <row r="53" spans="1:7" s="310" customFormat="1" ht="16.5" customHeight="1" x14ac:dyDescent="0.3">
      <c r="A53" s="337" t="s">
        <v>20</v>
      </c>
      <c r="B53" s="338">
        <f>COUNT(B45:B50)</f>
        <v>6</v>
      </c>
      <c r="C53" s="339"/>
      <c r="D53" s="340"/>
      <c r="E53" s="341"/>
    </row>
    <row r="54" spans="1:7" s="310" customFormat="1" ht="15.75" customHeight="1" x14ac:dyDescent="0.25">
      <c r="A54" s="316"/>
      <c r="B54" s="316"/>
      <c r="C54" s="316"/>
      <c r="D54" s="316"/>
      <c r="E54" s="316"/>
    </row>
    <row r="55" spans="1:7" s="310" customFormat="1" ht="16.5" customHeight="1" x14ac:dyDescent="0.3">
      <c r="A55" s="317" t="s">
        <v>21</v>
      </c>
      <c r="B55" s="342" t="s">
        <v>22</v>
      </c>
      <c r="C55" s="343"/>
      <c r="D55" s="343"/>
      <c r="E55" s="343"/>
    </row>
    <row r="56" spans="1:7" ht="16.5" customHeight="1" x14ac:dyDescent="0.3">
      <c r="A56" s="317"/>
      <c r="B56" s="342" t="s">
        <v>23</v>
      </c>
      <c r="C56" s="343"/>
      <c r="D56" s="343"/>
      <c r="E56" s="343"/>
    </row>
    <row r="57" spans="1:7" ht="16.5" customHeight="1" x14ac:dyDescent="0.3">
      <c r="A57" s="317"/>
      <c r="B57" s="342" t="s">
        <v>24</v>
      </c>
      <c r="C57" s="343"/>
      <c r="D57" s="343"/>
      <c r="E57" s="343"/>
    </row>
    <row r="58" spans="1:7" ht="14.25" customHeight="1" thickBot="1" x14ac:dyDescent="0.3">
      <c r="A58" s="344"/>
      <c r="B58" s="345"/>
      <c r="D58" s="346"/>
      <c r="F58" s="301"/>
      <c r="G58" s="301"/>
    </row>
    <row r="59" spans="1:7" ht="15" customHeight="1" x14ac:dyDescent="0.3">
      <c r="B59" s="347" t="s">
        <v>26</v>
      </c>
      <c r="C59" s="347"/>
      <c r="E59" s="348" t="s">
        <v>27</v>
      </c>
      <c r="F59" s="349"/>
      <c r="G59" s="348" t="s">
        <v>28</v>
      </c>
    </row>
    <row r="60" spans="1:7" ht="15" customHeight="1" x14ac:dyDescent="0.3">
      <c r="A60" s="350" t="s">
        <v>29</v>
      </c>
      <c r="B60" s="351" t="s">
        <v>145</v>
      </c>
      <c r="C60" s="351"/>
      <c r="E60" s="351"/>
      <c r="G60" s="351"/>
    </row>
    <row r="61" spans="1:7" ht="15" customHeight="1" x14ac:dyDescent="0.3">
      <c r="A61" s="350" t="s">
        <v>30</v>
      </c>
      <c r="B61" s="352"/>
      <c r="C61" s="352"/>
      <c r="E61" s="352"/>
      <c r="G61" s="3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15" t="s">
        <v>31</v>
      </c>
      <c r="B11" s="216"/>
      <c r="C11" s="216"/>
      <c r="D11" s="216"/>
      <c r="E11" s="216"/>
      <c r="F11" s="217"/>
      <c r="G11" s="41"/>
    </row>
    <row r="12" spans="1:7" ht="16.5" customHeight="1" x14ac:dyDescent="0.3">
      <c r="A12" s="214" t="s">
        <v>32</v>
      </c>
      <c r="B12" s="214"/>
      <c r="C12" s="214"/>
      <c r="D12" s="214"/>
      <c r="E12" s="214"/>
      <c r="F12" s="214"/>
      <c r="G12" s="40"/>
    </row>
    <row r="14" spans="1:7" ht="16.5" customHeight="1" x14ac:dyDescent="0.3">
      <c r="A14" s="219" t="s">
        <v>33</v>
      </c>
      <c r="B14" s="219"/>
      <c r="C14" s="10" t="s">
        <v>5</v>
      </c>
    </row>
    <row r="15" spans="1:7" ht="16.5" customHeight="1" x14ac:dyDescent="0.3">
      <c r="A15" s="219" t="s">
        <v>34</v>
      </c>
      <c r="B15" s="219"/>
      <c r="C15" s="10" t="s">
        <v>7</v>
      </c>
    </row>
    <row r="16" spans="1:7" ht="16.5" customHeight="1" x14ac:dyDescent="0.3">
      <c r="A16" s="219" t="s">
        <v>35</v>
      </c>
      <c r="B16" s="219"/>
      <c r="C16" s="10" t="s">
        <v>9</v>
      </c>
    </row>
    <row r="17" spans="1:5" ht="16.5" customHeight="1" x14ac:dyDescent="0.3">
      <c r="A17" s="219" t="s">
        <v>36</v>
      </c>
      <c r="B17" s="219"/>
      <c r="C17" s="10" t="s">
        <v>11</v>
      </c>
    </row>
    <row r="18" spans="1:5" ht="16.5" customHeight="1" x14ac:dyDescent="0.3">
      <c r="A18" s="219" t="s">
        <v>37</v>
      </c>
      <c r="B18" s="219"/>
      <c r="C18" s="47" t="s">
        <v>12</v>
      </c>
    </row>
    <row r="19" spans="1:5" ht="16.5" customHeight="1" x14ac:dyDescent="0.3">
      <c r="A19" s="219" t="s">
        <v>38</v>
      </c>
      <c r="B19" s="21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14" t="s">
        <v>1</v>
      </c>
      <c r="B21" s="214"/>
      <c r="C21" s="9" t="s">
        <v>39</v>
      </c>
      <c r="D21" s="16"/>
    </row>
    <row r="22" spans="1:5" ht="15.75" customHeight="1" x14ac:dyDescent="0.3">
      <c r="A22" s="218"/>
      <c r="B22" s="218"/>
      <c r="C22" s="7"/>
      <c r="D22" s="218"/>
      <c r="E22" s="218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1774.7</v>
      </c>
      <c r="D24" s="37">
        <f t="shared" ref="D24:D43" si="0">(C24-$C$46)/$C$46</f>
        <v>5.824852040823638E-3</v>
      </c>
      <c r="E24" s="3"/>
    </row>
    <row r="25" spans="1:5" ht="15.75" customHeight="1" x14ac:dyDescent="0.3">
      <c r="C25" s="45">
        <v>1763.07</v>
      </c>
      <c r="D25" s="38">
        <f t="shared" si="0"/>
        <v>-7.6653976017646778E-4</v>
      </c>
      <c r="E25" s="3"/>
    </row>
    <row r="26" spans="1:5" ht="15.75" customHeight="1" x14ac:dyDescent="0.3">
      <c r="C26" s="45">
        <v>1762.62</v>
      </c>
      <c r="D26" s="38">
        <f t="shared" si="0"/>
        <v>-1.0215807155032365E-3</v>
      </c>
      <c r="E26" s="3"/>
    </row>
    <row r="27" spans="1:5" ht="15.75" customHeight="1" x14ac:dyDescent="0.3">
      <c r="C27" s="45">
        <v>1800.07</v>
      </c>
      <c r="D27" s="38">
        <f t="shared" si="0"/>
        <v>2.0203494344466836E-2</v>
      </c>
      <c r="E27" s="3"/>
    </row>
    <row r="28" spans="1:5" ht="15.75" customHeight="1" x14ac:dyDescent="0.3">
      <c r="C28" s="45">
        <v>1762.15</v>
      </c>
      <c r="D28" s="38">
        <f t="shared" si="0"/>
        <v>-1.2879568243999433E-3</v>
      </c>
      <c r="E28" s="3"/>
    </row>
    <row r="29" spans="1:5" ht="15.75" customHeight="1" x14ac:dyDescent="0.3">
      <c r="C29" s="45">
        <v>1745.72</v>
      </c>
      <c r="D29" s="38">
        <f t="shared" si="0"/>
        <v>-1.0599785482218614E-2</v>
      </c>
      <c r="E29" s="3"/>
    </row>
    <row r="30" spans="1:5" ht="15.75" customHeight="1" x14ac:dyDescent="0.3">
      <c r="C30" s="45">
        <v>1736.97</v>
      </c>
      <c r="D30" s="38">
        <f t="shared" si="0"/>
        <v>-1.5558915169127505E-2</v>
      </c>
      <c r="E30" s="3"/>
    </row>
    <row r="31" spans="1:5" ht="15.75" customHeight="1" x14ac:dyDescent="0.3">
      <c r="C31" s="45">
        <v>1742.36</v>
      </c>
      <c r="D31" s="38">
        <f t="shared" si="0"/>
        <v>-1.2504091281991701E-2</v>
      </c>
      <c r="E31" s="3"/>
    </row>
    <row r="32" spans="1:5" ht="15.75" customHeight="1" x14ac:dyDescent="0.3">
      <c r="C32" s="45">
        <v>1772.22</v>
      </c>
      <c r="D32" s="38">
        <f t="shared" si="0"/>
        <v>4.4192929981340225E-3</v>
      </c>
      <c r="E32" s="3"/>
    </row>
    <row r="33" spans="1:7" ht="15.75" customHeight="1" x14ac:dyDescent="0.3">
      <c r="C33" s="45">
        <v>1804.88</v>
      </c>
      <c r="D33" s="38">
        <f t="shared" si="0"/>
        <v>2.2929598778070565E-2</v>
      </c>
      <c r="E33" s="3"/>
    </row>
    <row r="34" spans="1:7" ht="15.75" customHeight="1" x14ac:dyDescent="0.3">
      <c r="C34" s="45">
        <v>1743.08</v>
      </c>
      <c r="D34" s="38">
        <f t="shared" si="0"/>
        <v>-1.2096025753468896E-2</v>
      </c>
      <c r="E34" s="3"/>
    </row>
    <row r="35" spans="1:7" ht="15.75" customHeight="1" x14ac:dyDescent="0.3">
      <c r="C35" s="45">
        <v>1767.57</v>
      </c>
      <c r="D35" s="38">
        <f t="shared" si="0"/>
        <v>1.7838697930909612E-3</v>
      </c>
      <c r="E35" s="3"/>
    </row>
    <row r="36" spans="1:7" ht="15.75" customHeight="1" x14ac:dyDescent="0.3">
      <c r="C36" s="45">
        <v>1733.34</v>
      </c>
      <c r="D36" s="38">
        <f t="shared" si="0"/>
        <v>-1.7616245542096627E-2</v>
      </c>
      <c r="E36" s="3"/>
    </row>
    <row r="37" spans="1:7" ht="15.75" customHeight="1" x14ac:dyDescent="0.3">
      <c r="C37" s="45">
        <v>1800.4</v>
      </c>
      <c r="D37" s="38">
        <f t="shared" si="0"/>
        <v>2.0390524378373204E-2</v>
      </c>
      <c r="E37" s="3"/>
    </row>
    <row r="38" spans="1:7" ht="15.75" customHeight="1" x14ac:dyDescent="0.3">
      <c r="C38" s="45">
        <v>1750.63</v>
      </c>
      <c r="D38" s="38">
        <f t="shared" si="0"/>
        <v>-7.8170052807645506E-3</v>
      </c>
      <c r="E38" s="3"/>
    </row>
    <row r="39" spans="1:7" ht="15.75" customHeight="1" x14ac:dyDescent="0.3">
      <c r="C39" s="45">
        <v>1748.27</v>
      </c>
      <c r="D39" s="38">
        <f t="shared" si="0"/>
        <v>-9.1545534020337632E-3</v>
      </c>
      <c r="E39" s="3"/>
    </row>
    <row r="40" spans="1:7" ht="15.75" customHeight="1" x14ac:dyDescent="0.3">
      <c r="C40" s="45">
        <v>1790.43</v>
      </c>
      <c r="D40" s="38">
        <f t="shared" si="0"/>
        <v>1.4739950323689573E-2</v>
      </c>
      <c r="E40" s="3"/>
    </row>
    <row r="41" spans="1:7" ht="15.75" customHeight="1" x14ac:dyDescent="0.3">
      <c r="C41" s="45">
        <v>1723.38</v>
      </c>
      <c r="D41" s="38">
        <f t="shared" si="0"/>
        <v>-2.3261152019995093E-2</v>
      </c>
      <c r="E41" s="3"/>
    </row>
    <row r="42" spans="1:7" ht="15.75" customHeight="1" x14ac:dyDescent="0.3">
      <c r="C42" s="45">
        <v>1804.09</v>
      </c>
      <c r="D42" s="38">
        <f t="shared" si="0"/>
        <v>2.2481860212052396E-2</v>
      </c>
      <c r="E42" s="3"/>
    </row>
    <row r="43" spans="1:7" ht="16.5" customHeight="1" x14ac:dyDescent="0.3">
      <c r="C43" s="46">
        <v>1762.5</v>
      </c>
      <c r="D43" s="39">
        <f t="shared" si="0"/>
        <v>-1.0895916369236393E-3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35288.449999999997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1764.4224999999999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12">
        <f>C46</f>
        <v>1764.4224999999999</v>
      </c>
      <c r="C49" s="43">
        <f>-IF(C46&lt;=80,10%,IF(C46&lt;250,7.5%,5%))</f>
        <v>-0.05</v>
      </c>
      <c r="D49" s="31">
        <f>IF(C46&lt;=80,C46*0.9,IF(C46&lt;250,C46*0.925,C46*0.95))</f>
        <v>1676.2013749999999</v>
      </c>
    </row>
    <row r="50" spans="1:6" ht="17.25" customHeight="1" x14ac:dyDescent="0.3">
      <c r="B50" s="213"/>
      <c r="C50" s="44">
        <f>IF(C46&lt;=80, 10%, IF(C46&lt;250, 7.5%, 5%))</f>
        <v>0.05</v>
      </c>
      <c r="D50" s="31">
        <f>IF(C46&lt;=80, C46*1.1, IF(C46&lt;250, C46*1.075, C46*1.05))</f>
        <v>1852.6436249999999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39" orientation="portrait" r:id="rId1"/>
  <headerFooter alignWithMargins="0"/>
  <colBreaks count="1" manualBreakCount="1">
    <brk id="20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30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1"/>
  </cols>
  <sheetData>
    <row r="1" spans="1:9" ht="18.75" customHeight="1" x14ac:dyDescent="0.25">
      <c r="A1" s="255" t="s">
        <v>45</v>
      </c>
      <c r="B1" s="255"/>
      <c r="C1" s="255"/>
      <c r="D1" s="255"/>
      <c r="E1" s="255"/>
      <c r="F1" s="255"/>
      <c r="G1" s="255"/>
      <c r="H1" s="255"/>
      <c r="I1" s="255"/>
    </row>
    <row r="2" spans="1:9" ht="18.75" customHeight="1" x14ac:dyDescent="0.25">
      <c r="A2" s="255"/>
      <c r="B2" s="255"/>
      <c r="C2" s="255"/>
      <c r="D2" s="255"/>
      <c r="E2" s="255"/>
      <c r="F2" s="255"/>
      <c r="G2" s="255"/>
      <c r="H2" s="255"/>
      <c r="I2" s="255"/>
    </row>
    <row r="3" spans="1:9" ht="18.75" customHeight="1" x14ac:dyDescent="0.25">
      <c r="A3" s="255"/>
      <c r="B3" s="255"/>
      <c r="C3" s="255"/>
      <c r="D3" s="255"/>
      <c r="E3" s="255"/>
      <c r="F3" s="255"/>
      <c r="G3" s="255"/>
      <c r="H3" s="255"/>
      <c r="I3" s="255"/>
    </row>
    <row r="4" spans="1:9" ht="18.75" customHeight="1" x14ac:dyDescent="0.25">
      <c r="A4" s="255"/>
      <c r="B4" s="255"/>
      <c r="C4" s="255"/>
      <c r="D4" s="255"/>
      <c r="E4" s="255"/>
      <c r="F4" s="255"/>
      <c r="G4" s="255"/>
      <c r="H4" s="255"/>
      <c r="I4" s="255"/>
    </row>
    <row r="5" spans="1:9" ht="18.75" customHeight="1" x14ac:dyDescent="0.25">
      <c r="A5" s="255"/>
      <c r="B5" s="255"/>
      <c r="C5" s="255"/>
      <c r="D5" s="255"/>
      <c r="E5" s="255"/>
      <c r="F5" s="255"/>
      <c r="G5" s="255"/>
      <c r="H5" s="255"/>
      <c r="I5" s="255"/>
    </row>
    <row r="6" spans="1:9" ht="18.75" customHeight="1" x14ac:dyDescent="0.25">
      <c r="A6" s="255"/>
      <c r="B6" s="255"/>
      <c r="C6" s="255"/>
      <c r="D6" s="255"/>
      <c r="E6" s="255"/>
      <c r="F6" s="255"/>
      <c r="G6" s="255"/>
      <c r="H6" s="255"/>
      <c r="I6" s="255"/>
    </row>
    <row r="7" spans="1:9" ht="18.75" customHeight="1" x14ac:dyDescent="0.25">
      <c r="A7" s="255"/>
      <c r="B7" s="255"/>
      <c r="C7" s="255"/>
      <c r="D7" s="255"/>
      <c r="E7" s="255"/>
      <c r="F7" s="255"/>
      <c r="G7" s="255"/>
      <c r="H7" s="255"/>
      <c r="I7" s="255"/>
    </row>
    <row r="8" spans="1:9" x14ac:dyDescent="0.25">
      <c r="A8" s="256" t="s">
        <v>46</v>
      </c>
      <c r="B8" s="256"/>
      <c r="C8" s="256"/>
      <c r="D8" s="256"/>
      <c r="E8" s="256"/>
      <c r="F8" s="256"/>
      <c r="G8" s="256"/>
      <c r="H8" s="256"/>
      <c r="I8" s="256"/>
    </row>
    <row r="9" spans="1:9" x14ac:dyDescent="0.25">
      <c r="A9" s="256"/>
      <c r="B9" s="256"/>
      <c r="C9" s="256"/>
      <c r="D9" s="256"/>
      <c r="E9" s="256"/>
      <c r="F9" s="256"/>
      <c r="G9" s="256"/>
      <c r="H9" s="256"/>
      <c r="I9" s="256"/>
    </row>
    <row r="10" spans="1:9" x14ac:dyDescent="0.25">
      <c r="A10" s="256"/>
      <c r="B10" s="256"/>
      <c r="C10" s="256"/>
      <c r="D10" s="256"/>
      <c r="E10" s="256"/>
      <c r="F10" s="256"/>
      <c r="G10" s="256"/>
      <c r="H10" s="256"/>
      <c r="I10" s="256"/>
    </row>
    <row r="11" spans="1:9" x14ac:dyDescent="0.25">
      <c r="A11" s="256"/>
      <c r="B11" s="256"/>
      <c r="C11" s="256"/>
      <c r="D11" s="256"/>
      <c r="E11" s="256"/>
      <c r="F11" s="256"/>
      <c r="G11" s="256"/>
      <c r="H11" s="256"/>
      <c r="I11" s="256"/>
    </row>
    <row r="12" spans="1:9" x14ac:dyDescent="0.25">
      <c r="A12" s="256"/>
      <c r="B12" s="256"/>
      <c r="C12" s="256"/>
      <c r="D12" s="256"/>
      <c r="E12" s="256"/>
      <c r="F12" s="256"/>
      <c r="G12" s="256"/>
      <c r="H12" s="256"/>
      <c r="I12" s="256"/>
    </row>
    <row r="13" spans="1:9" x14ac:dyDescent="0.25">
      <c r="A13" s="256"/>
      <c r="B13" s="256"/>
      <c r="C13" s="256"/>
      <c r="D13" s="256"/>
      <c r="E13" s="256"/>
      <c r="F13" s="256"/>
      <c r="G13" s="256"/>
      <c r="H13" s="256"/>
      <c r="I13" s="256"/>
    </row>
    <row r="14" spans="1:9" x14ac:dyDescent="0.25">
      <c r="A14" s="256"/>
      <c r="B14" s="256"/>
      <c r="C14" s="256"/>
      <c r="D14" s="256"/>
      <c r="E14" s="256"/>
      <c r="F14" s="256"/>
      <c r="G14" s="256"/>
      <c r="H14" s="256"/>
      <c r="I14" s="256"/>
    </row>
    <row r="15" spans="1:9" ht="19.5" customHeight="1" thickBot="1" x14ac:dyDescent="0.35">
      <c r="A15" s="52"/>
    </row>
    <row r="16" spans="1:9" ht="19.5" customHeight="1" thickBot="1" x14ac:dyDescent="0.35">
      <c r="A16" s="257" t="s">
        <v>31</v>
      </c>
      <c r="B16" s="258"/>
      <c r="C16" s="258"/>
      <c r="D16" s="258"/>
      <c r="E16" s="258"/>
      <c r="F16" s="258"/>
      <c r="G16" s="258"/>
      <c r="H16" s="259"/>
    </row>
    <row r="17" spans="1:14" ht="20.25" customHeight="1" x14ac:dyDescent="0.25">
      <c r="A17" s="260" t="s">
        <v>47</v>
      </c>
      <c r="B17" s="260"/>
      <c r="C17" s="260"/>
      <c r="D17" s="260"/>
      <c r="E17" s="260"/>
      <c r="F17" s="260"/>
      <c r="G17" s="260"/>
      <c r="H17" s="260"/>
    </row>
    <row r="18" spans="1:14" ht="26.25" customHeight="1" x14ac:dyDescent="0.4">
      <c r="A18" s="53" t="s">
        <v>33</v>
      </c>
      <c r="B18" s="253" t="s">
        <v>131</v>
      </c>
      <c r="C18" s="253"/>
      <c r="D18" s="54"/>
      <c r="E18" s="55"/>
      <c r="F18" s="56"/>
      <c r="G18" s="56"/>
      <c r="H18" s="56"/>
    </row>
    <row r="19" spans="1:14" ht="26.25" customHeight="1" x14ac:dyDescent="0.4">
      <c r="A19" s="53" t="s">
        <v>34</v>
      </c>
      <c r="B19" s="57" t="s">
        <v>7</v>
      </c>
      <c r="C19" s="56">
        <v>1</v>
      </c>
      <c r="D19" s="56"/>
      <c r="E19" s="56"/>
      <c r="F19" s="56"/>
      <c r="G19" s="56"/>
      <c r="H19" s="56"/>
    </row>
    <row r="20" spans="1:14" ht="26.25" customHeight="1" x14ac:dyDescent="0.4">
      <c r="A20" s="53" t="s">
        <v>35</v>
      </c>
      <c r="B20" s="252" t="s">
        <v>132</v>
      </c>
      <c r="C20" s="252"/>
      <c r="D20" s="56"/>
      <c r="E20" s="56"/>
      <c r="F20" s="56"/>
      <c r="G20" s="56"/>
      <c r="H20" s="56"/>
    </row>
    <row r="21" spans="1:14" ht="26.25" customHeight="1" x14ac:dyDescent="0.4">
      <c r="A21" s="53" t="s">
        <v>36</v>
      </c>
      <c r="B21" s="252" t="s">
        <v>133</v>
      </c>
      <c r="C21" s="252"/>
      <c r="D21" s="252"/>
      <c r="E21" s="252"/>
      <c r="F21" s="252"/>
      <c r="G21" s="252"/>
      <c r="H21" s="252"/>
      <c r="I21" s="58"/>
    </row>
    <row r="22" spans="1:14" ht="26.25" customHeight="1" x14ac:dyDescent="0.4">
      <c r="A22" s="53" t="s">
        <v>37</v>
      </c>
      <c r="B22" s="59" t="s">
        <v>134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3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3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53" t="s">
        <v>132</v>
      </c>
      <c r="C26" s="253"/>
    </row>
    <row r="27" spans="1:14" ht="26.25" customHeight="1" x14ac:dyDescent="0.4">
      <c r="A27" s="63" t="s">
        <v>48</v>
      </c>
      <c r="B27" s="254" t="s">
        <v>147</v>
      </c>
      <c r="C27" s="254"/>
    </row>
    <row r="28" spans="1:14" ht="27" customHeight="1" thickBot="1" x14ac:dyDescent="0.45">
      <c r="A28" s="63" t="s">
        <v>6</v>
      </c>
      <c r="B28" s="64">
        <v>98.9</v>
      </c>
    </row>
    <row r="29" spans="1:14" s="49" customFormat="1" ht="27" customHeight="1" thickBot="1" x14ac:dyDescent="0.45">
      <c r="A29" s="63" t="s">
        <v>49</v>
      </c>
      <c r="B29" s="65">
        <v>0</v>
      </c>
      <c r="C29" s="232" t="s">
        <v>50</v>
      </c>
      <c r="D29" s="233"/>
      <c r="E29" s="233"/>
      <c r="F29" s="233"/>
      <c r="G29" s="234"/>
      <c r="I29" s="66"/>
      <c r="J29" s="66"/>
      <c r="K29" s="66"/>
      <c r="L29" s="66"/>
    </row>
    <row r="30" spans="1:14" s="49" customFormat="1" ht="19.5" customHeight="1" thickBot="1" x14ac:dyDescent="0.35">
      <c r="A30" s="63" t="s">
        <v>51</v>
      </c>
      <c r="B30" s="67">
        <f>B28-B29</f>
        <v>98.9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9" customFormat="1" ht="27" customHeight="1" thickBot="1" x14ac:dyDescent="0.45">
      <c r="A31" s="63" t="s">
        <v>52</v>
      </c>
      <c r="B31" s="70">
        <v>1</v>
      </c>
      <c r="C31" s="235" t="s">
        <v>53</v>
      </c>
      <c r="D31" s="236"/>
      <c r="E31" s="236"/>
      <c r="F31" s="236"/>
      <c r="G31" s="236"/>
      <c r="H31" s="237"/>
      <c r="I31" s="66"/>
      <c r="J31" s="66"/>
      <c r="K31" s="66"/>
      <c r="L31" s="66"/>
    </row>
    <row r="32" spans="1:14" s="49" customFormat="1" ht="27" customHeight="1" thickBot="1" x14ac:dyDescent="0.45">
      <c r="A32" s="63" t="s">
        <v>54</v>
      </c>
      <c r="B32" s="70">
        <v>1</v>
      </c>
      <c r="C32" s="235" t="s">
        <v>55</v>
      </c>
      <c r="D32" s="236"/>
      <c r="E32" s="236"/>
      <c r="F32" s="236"/>
      <c r="G32" s="236"/>
      <c r="H32" s="237"/>
      <c r="I32" s="66"/>
      <c r="J32" s="66"/>
      <c r="K32" s="66"/>
      <c r="L32" s="71"/>
      <c r="M32" s="71"/>
      <c r="N32" s="72"/>
    </row>
    <row r="33" spans="1:14" s="49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9" customFormat="1" ht="18.75" x14ac:dyDescent="0.3">
      <c r="A34" s="63" t="s">
        <v>56</v>
      </c>
      <c r="B34" s="75">
        <f>B31/B32</f>
        <v>1</v>
      </c>
      <c r="C34" s="52" t="s">
        <v>57</v>
      </c>
      <c r="D34" s="52"/>
      <c r="E34" s="52"/>
      <c r="F34" s="52"/>
      <c r="G34" s="52"/>
      <c r="I34" s="66"/>
      <c r="J34" s="66"/>
      <c r="K34" s="66"/>
      <c r="L34" s="71"/>
      <c r="M34" s="71"/>
      <c r="N34" s="72"/>
    </row>
    <row r="35" spans="1:14" s="49" customFormat="1" ht="19.5" customHeight="1" thickBot="1" x14ac:dyDescent="0.35">
      <c r="A35" s="63"/>
      <c r="B35" s="67"/>
      <c r="G35" s="52"/>
      <c r="I35" s="66"/>
      <c r="J35" s="66"/>
      <c r="K35" s="66"/>
      <c r="L35" s="71"/>
      <c r="M35" s="71"/>
      <c r="N35" s="72"/>
    </row>
    <row r="36" spans="1:14" s="49" customFormat="1" ht="27" customHeight="1" thickBot="1" x14ac:dyDescent="0.45">
      <c r="A36" s="76" t="s">
        <v>58</v>
      </c>
      <c r="B36" s="77">
        <v>10</v>
      </c>
      <c r="C36" s="52"/>
      <c r="D36" s="238" t="s">
        <v>59</v>
      </c>
      <c r="E36" s="251"/>
      <c r="F36" s="238" t="s">
        <v>60</v>
      </c>
      <c r="G36" s="239"/>
      <c r="J36" s="66"/>
      <c r="K36" s="66"/>
      <c r="L36" s="71"/>
      <c r="M36" s="71"/>
      <c r="N36" s="72"/>
    </row>
    <row r="37" spans="1:14" s="49" customFormat="1" ht="27" customHeight="1" thickBot="1" x14ac:dyDescent="0.45">
      <c r="A37" s="78" t="s">
        <v>61</v>
      </c>
      <c r="B37" s="79">
        <v>4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49" customFormat="1" ht="26.25" customHeight="1" x14ac:dyDescent="0.4">
      <c r="A38" s="78" t="s">
        <v>66</v>
      </c>
      <c r="B38" s="79">
        <v>50</v>
      </c>
      <c r="C38" s="85">
        <v>1</v>
      </c>
      <c r="D38" s="354">
        <v>7428963</v>
      </c>
      <c r="E38" s="87">
        <f>IF(ISBLANK(D38),"-",$D$48/$D$45*D38)</f>
        <v>7638905.5885931673</v>
      </c>
      <c r="F38" s="354">
        <v>8476021</v>
      </c>
      <c r="G38" s="88">
        <f>IF(ISBLANK(F38),"-",$D$48/$F$45*F38)</f>
        <v>7611273.7447625482</v>
      </c>
      <c r="I38" s="89"/>
      <c r="J38" s="66"/>
      <c r="K38" s="66"/>
      <c r="L38" s="71"/>
      <c r="M38" s="71"/>
      <c r="N38" s="72"/>
    </row>
    <row r="39" spans="1:14" s="49" customFormat="1" ht="26.25" customHeight="1" x14ac:dyDescent="0.4">
      <c r="A39" s="78" t="s">
        <v>67</v>
      </c>
      <c r="B39" s="79">
        <v>1</v>
      </c>
      <c r="C39" s="90">
        <v>2</v>
      </c>
      <c r="D39" s="355">
        <v>7510210</v>
      </c>
      <c r="E39" s="92">
        <f>IF(ISBLANK(D39),"-",$D$48/$D$45*D39)</f>
        <v>7722448.6298435312</v>
      </c>
      <c r="F39" s="355">
        <v>8321883</v>
      </c>
      <c r="G39" s="93">
        <f>IF(ISBLANK(F39),"-",$D$48/$F$45*F39)</f>
        <v>7472861.3325622706</v>
      </c>
      <c r="I39" s="220">
        <f>ABS((F43/D43*D42)-F42)/D42</f>
        <v>8.1253862272072513E-3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355">
        <v>7310179</v>
      </c>
      <c r="E40" s="92">
        <f>IF(ISBLANK(D40),"-",$D$48/$D$45*D40)</f>
        <v>7516764.7512467634</v>
      </c>
      <c r="F40" s="355">
        <v>8498705</v>
      </c>
      <c r="G40" s="93">
        <f>IF(ISBLANK(F40),"-",$D$48/$F$45*F40)</f>
        <v>7631643.4599421341</v>
      </c>
      <c r="I40" s="220"/>
      <c r="L40" s="71"/>
      <c r="M40" s="71"/>
      <c r="N40" s="52"/>
    </row>
    <row r="41" spans="1:14" ht="27" customHeight="1" thickBot="1" x14ac:dyDescent="0.45">
      <c r="A41" s="78" t="s">
        <v>69</v>
      </c>
      <c r="B41" s="79">
        <v>1</v>
      </c>
      <c r="C41" s="94">
        <v>4</v>
      </c>
      <c r="D41" s="356"/>
      <c r="E41" s="96" t="str">
        <f>IF(ISBLANK(D41),"-",$D$48/$D$45*D41)</f>
        <v>-</v>
      </c>
      <c r="F41" s="356"/>
      <c r="G41" s="97" t="str">
        <f>IF(ISBLANK(F41),"-",$D$48/$F$45*F41)</f>
        <v>-</v>
      </c>
      <c r="I41" s="98"/>
      <c r="L41" s="71"/>
      <c r="M41" s="71"/>
      <c r="N41" s="52"/>
    </row>
    <row r="42" spans="1:14" ht="27" customHeight="1" thickBot="1" x14ac:dyDescent="0.45">
      <c r="A42" s="78" t="s">
        <v>70</v>
      </c>
      <c r="B42" s="79">
        <v>1</v>
      </c>
      <c r="C42" s="99" t="s">
        <v>71</v>
      </c>
      <c r="D42" s="100">
        <f>AVERAGE(D38:D41)</f>
        <v>7416450.666666667</v>
      </c>
      <c r="E42" s="101">
        <f>AVERAGE(E38:E41)</f>
        <v>7626039.6565611539</v>
      </c>
      <c r="F42" s="100">
        <f>AVERAGE(F38:F41)</f>
        <v>8432203</v>
      </c>
      <c r="G42" s="102">
        <f>AVERAGE(G38:G41)</f>
        <v>7571926.1790889846</v>
      </c>
      <c r="H42" s="50"/>
    </row>
    <row r="43" spans="1:14" ht="26.25" customHeight="1" x14ac:dyDescent="0.4">
      <c r="A43" s="78" t="s">
        <v>72</v>
      </c>
      <c r="B43" s="79">
        <v>1</v>
      </c>
      <c r="C43" s="103" t="s">
        <v>73</v>
      </c>
      <c r="D43" s="104">
        <v>29.5</v>
      </c>
      <c r="E43" s="52"/>
      <c r="F43" s="104">
        <v>33.78</v>
      </c>
      <c r="H43" s="50"/>
    </row>
    <row r="44" spans="1:14" ht="26.25" customHeight="1" x14ac:dyDescent="0.4">
      <c r="A44" s="78" t="s">
        <v>74</v>
      </c>
      <c r="B44" s="79">
        <v>1</v>
      </c>
      <c r="C44" s="105" t="s">
        <v>75</v>
      </c>
      <c r="D44" s="106">
        <f>D43*$B$34</f>
        <v>29.5</v>
      </c>
      <c r="E44" s="107"/>
      <c r="F44" s="106">
        <f>F43*$B$34</f>
        <v>33.78</v>
      </c>
      <c r="H44" s="50"/>
    </row>
    <row r="45" spans="1:14" ht="19.5" customHeight="1" thickBot="1" x14ac:dyDescent="0.35">
      <c r="A45" s="78" t="s">
        <v>76</v>
      </c>
      <c r="B45" s="90">
        <f>(B44/B43)*(B42/B41)*(B40/B39)*(B38/B37)*B36</f>
        <v>125</v>
      </c>
      <c r="C45" s="105" t="s">
        <v>77</v>
      </c>
      <c r="D45" s="108">
        <f>D44*$B$30/100</f>
        <v>29.175500000000003</v>
      </c>
      <c r="E45" s="109"/>
      <c r="F45" s="108">
        <f>F44*$B$30/100</f>
        <v>33.40842</v>
      </c>
      <c r="H45" s="50"/>
    </row>
    <row r="46" spans="1:14" ht="19.5" customHeight="1" thickBot="1" x14ac:dyDescent="0.35">
      <c r="A46" s="221" t="s">
        <v>78</v>
      </c>
      <c r="B46" s="225"/>
      <c r="C46" s="105" t="s">
        <v>79</v>
      </c>
      <c r="D46" s="110">
        <f>D45/$B$45</f>
        <v>0.23340400000000003</v>
      </c>
      <c r="E46" s="111"/>
      <c r="F46" s="112">
        <f>F45/$B$45</f>
        <v>0.26726736000000001</v>
      </c>
      <c r="H46" s="50"/>
    </row>
    <row r="47" spans="1:14" ht="27" customHeight="1" thickBot="1" x14ac:dyDescent="0.45">
      <c r="A47" s="223"/>
      <c r="B47" s="226"/>
      <c r="C47" s="113" t="s">
        <v>80</v>
      </c>
      <c r="D47" s="114">
        <v>0.24</v>
      </c>
      <c r="E47" s="115"/>
      <c r="F47" s="111"/>
      <c r="H47" s="50"/>
    </row>
    <row r="48" spans="1:14" ht="18.75" x14ac:dyDescent="0.3">
      <c r="C48" s="116" t="s">
        <v>81</v>
      </c>
      <c r="D48" s="108">
        <f>D47*$B$45</f>
        <v>30</v>
      </c>
      <c r="F48" s="117"/>
      <c r="H48" s="50"/>
    </row>
    <row r="49" spans="1:12" ht="19.5" customHeight="1" thickBot="1" x14ac:dyDescent="0.35">
      <c r="C49" s="118" t="s">
        <v>82</v>
      </c>
      <c r="D49" s="119">
        <f>D48/B34</f>
        <v>30</v>
      </c>
      <c r="F49" s="117"/>
      <c r="H49" s="50"/>
    </row>
    <row r="50" spans="1:12" ht="18.75" x14ac:dyDescent="0.3">
      <c r="C50" s="76" t="s">
        <v>83</v>
      </c>
      <c r="D50" s="120">
        <f>AVERAGE(E38:E41,G38:G41)</f>
        <v>7598982.9178250683</v>
      </c>
      <c r="F50" s="121"/>
      <c r="H50" s="50"/>
    </row>
    <row r="51" spans="1:12" ht="18.75" x14ac:dyDescent="0.3">
      <c r="C51" s="78" t="s">
        <v>84</v>
      </c>
      <c r="D51" s="122">
        <f>STDEV(E38:E41,G38:G41)/D50</f>
        <v>1.1876085725630791E-2</v>
      </c>
      <c r="F51" s="121"/>
      <c r="H51" s="50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2" t="s">
        <v>86</v>
      </c>
      <c r="B55" s="127" t="str">
        <f>B21</f>
        <v>Each film coated tablets contains Tenofovir disoproxil fumarate 300 mg, lamivudine USP 300 mg, Efavirenz 600 mg</v>
      </c>
    </row>
    <row r="56" spans="1:12" ht="26.25" customHeight="1" x14ac:dyDescent="0.4">
      <c r="A56" s="127" t="s">
        <v>87</v>
      </c>
      <c r="B56" s="128">
        <v>600</v>
      </c>
      <c r="C56" s="52" t="str">
        <f>B20</f>
        <v>Efavirenz</v>
      </c>
      <c r="H56" s="107"/>
    </row>
    <row r="57" spans="1:12" ht="18.75" x14ac:dyDescent="0.3">
      <c r="A57" s="127" t="s">
        <v>88</v>
      </c>
      <c r="B57" s="129">
        <f>Uniformity!C46</f>
        <v>1764.4224999999999</v>
      </c>
      <c r="H57" s="107"/>
    </row>
    <row r="58" spans="1:12" ht="19.5" customHeight="1" thickBot="1" x14ac:dyDescent="0.35">
      <c r="H58" s="107"/>
    </row>
    <row r="59" spans="1:12" s="49" customFormat="1" ht="27" customHeight="1" thickBot="1" x14ac:dyDescent="0.45">
      <c r="A59" s="76" t="s">
        <v>89</v>
      </c>
      <c r="B59" s="77">
        <v>100</v>
      </c>
      <c r="C59" s="52"/>
      <c r="D59" s="130" t="s">
        <v>90</v>
      </c>
      <c r="E59" s="131" t="s">
        <v>62</v>
      </c>
      <c r="F59" s="131" t="s">
        <v>63</v>
      </c>
      <c r="G59" s="131" t="s">
        <v>91</v>
      </c>
      <c r="H59" s="80" t="s">
        <v>92</v>
      </c>
      <c r="L59" s="66"/>
    </row>
    <row r="60" spans="1:12" s="49" customFormat="1" ht="26.25" customHeight="1" x14ac:dyDescent="0.4">
      <c r="A60" s="78" t="s">
        <v>93</v>
      </c>
      <c r="B60" s="79">
        <v>5</v>
      </c>
      <c r="C60" s="240" t="s">
        <v>94</v>
      </c>
      <c r="D60" s="243">
        <v>1815.6</v>
      </c>
      <c r="E60" s="132">
        <v>1</v>
      </c>
      <c r="F60" s="133">
        <v>9618375</v>
      </c>
      <c r="G60" s="134">
        <f>IF(ISBLANK(F60),"-",(F60/$D$50*$D$47*$B$68)*($B$57/$D$60))</f>
        <v>590.43200063504514</v>
      </c>
      <c r="H60" s="135">
        <f t="shared" ref="H60:H71" si="0">IF(ISBLANK(F60),"-",(G60/$B$56)*100)</f>
        <v>98.405333439174186</v>
      </c>
      <c r="L60" s="66"/>
    </row>
    <row r="61" spans="1:12" s="49" customFormat="1" ht="26.25" customHeight="1" x14ac:dyDescent="0.4">
      <c r="A61" s="78" t="s">
        <v>95</v>
      </c>
      <c r="B61" s="79">
        <v>100</v>
      </c>
      <c r="C61" s="241"/>
      <c r="D61" s="244"/>
      <c r="E61" s="136">
        <v>2</v>
      </c>
      <c r="F61" s="91">
        <v>9677981</v>
      </c>
      <c r="G61" s="137">
        <f>IF(ISBLANK(F61),"-",(F61/$D$50*$D$47*$B$68)*($B$57/$D$60))</f>
        <v>594.09096483948224</v>
      </c>
      <c r="H61" s="138">
        <f t="shared" si="0"/>
        <v>99.015160806580369</v>
      </c>
      <c r="L61" s="66"/>
    </row>
    <row r="62" spans="1:12" s="49" customFormat="1" ht="26.25" customHeight="1" x14ac:dyDescent="0.4">
      <c r="A62" s="78" t="s">
        <v>96</v>
      </c>
      <c r="B62" s="79">
        <v>1</v>
      </c>
      <c r="C62" s="241"/>
      <c r="D62" s="244"/>
      <c r="E62" s="136">
        <v>3</v>
      </c>
      <c r="F62" s="139">
        <v>9496565</v>
      </c>
      <c r="G62" s="137">
        <f>IF(ISBLANK(F62),"-",(F62/$D$50*$D$47*$B$68)*($B$57/$D$60))</f>
        <v>582.95459182146135</v>
      </c>
      <c r="H62" s="138">
        <f t="shared" si="0"/>
        <v>97.15909863691023</v>
      </c>
      <c r="L62" s="66"/>
    </row>
    <row r="63" spans="1:12" ht="27" customHeight="1" thickBot="1" x14ac:dyDescent="0.45">
      <c r="A63" s="78" t="s">
        <v>97</v>
      </c>
      <c r="B63" s="79">
        <v>1</v>
      </c>
      <c r="C63" s="242"/>
      <c r="D63" s="245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240" t="s">
        <v>99</v>
      </c>
      <c r="D64" s="243">
        <v>1773.92</v>
      </c>
      <c r="E64" s="132">
        <v>1</v>
      </c>
      <c r="F64" s="133"/>
      <c r="G64" s="134" t="str">
        <f>IF(ISBLANK(F64),"-",(F64/$D$50*$D$47*$B$68)*($B$57/$D$64))</f>
        <v>-</v>
      </c>
      <c r="H64" s="135" t="str">
        <f t="shared" si="0"/>
        <v>-</v>
      </c>
    </row>
    <row r="65" spans="1:8" ht="26.25" customHeight="1" x14ac:dyDescent="0.4">
      <c r="A65" s="78" t="s">
        <v>100</v>
      </c>
      <c r="B65" s="79">
        <v>1</v>
      </c>
      <c r="C65" s="241"/>
      <c r="D65" s="244"/>
      <c r="E65" s="136">
        <v>2</v>
      </c>
      <c r="F65" s="91"/>
      <c r="G65" s="137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8" t="s">
        <v>101</v>
      </c>
      <c r="B66" s="79">
        <v>1</v>
      </c>
      <c r="C66" s="241"/>
      <c r="D66" s="244"/>
      <c r="E66" s="136">
        <v>3</v>
      </c>
      <c r="F66" s="91"/>
      <c r="G66" s="137" t="str">
        <f>IF(ISBLANK(F66),"-",(F66/$D$50*$D$47*$B$68)*($B$57/$D$64))</f>
        <v>-</v>
      </c>
      <c r="H66" s="138" t="str">
        <f t="shared" si="0"/>
        <v>-</v>
      </c>
    </row>
    <row r="67" spans="1:8" ht="27" customHeight="1" thickBot="1" x14ac:dyDescent="0.45">
      <c r="A67" s="78" t="s">
        <v>102</v>
      </c>
      <c r="B67" s="79">
        <v>1</v>
      </c>
      <c r="C67" s="242"/>
      <c r="D67" s="245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8" t="s">
        <v>103</v>
      </c>
      <c r="B68" s="144">
        <f>(B67/B66)*(B65/B64)*(B63/B62)*(B61/B60)*B59</f>
        <v>2000</v>
      </c>
      <c r="C68" s="240" t="s">
        <v>104</v>
      </c>
      <c r="D68" s="243">
        <v>1783.82</v>
      </c>
      <c r="E68" s="132">
        <v>1</v>
      </c>
      <c r="F68" s="133">
        <v>9619805</v>
      </c>
      <c r="G68" s="134">
        <f>IF(ISBLANK(F68),"-",(F68/$D$50*$D$47*$B$68)*($B$57/$D$68))</f>
        <v>601.04030501556281</v>
      </c>
      <c r="H68" s="138">
        <f t="shared" si="0"/>
        <v>100.17338416926047</v>
      </c>
    </row>
    <row r="69" spans="1:8" ht="27" customHeight="1" thickBot="1" x14ac:dyDescent="0.45">
      <c r="A69" s="123" t="s">
        <v>105</v>
      </c>
      <c r="B69" s="145">
        <f>(D47*B68)/B56*B57</f>
        <v>1411.538</v>
      </c>
      <c r="C69" s="241"/>
      <c r="D69" s="244"/>
      <c r="E69" s="136">
        <v>2</v>
      </c>
      <c r="F69" s="91">
        <v>9461390</v>
      </c>
      <c r="G69" s="137">
        <f>IF(ISBLANK(F69),"-",(F69/$D$50*$D$47*$B$68)*($B$57/$D$68))</f>
        <v>591.14261998774361</v>
      </c>
      <c r="H69" s="138">
        <f t="shared" si="0"/>
        <v>98.52376999795726</v>
      </c>
    </row>
    <row r="70" spans="1:8" ht="26.25" customHeight="1" x14ac:dyDescent="0.4">
      <c r="A70" s="247" t="s">
        <v>78</v>
      </c>
      <c r="B70" s="248"/>
      <c r="C70" s="241"/>
      <c r="D70" s="244"/>
      <c r="E70" s="136">
        <v>3</v>
      </c>
      <c r="F70" s="91">
        <v>9794589</v>
      </c>
      <c r="G70" s="137">
        <f>IF(ISBLANK(F70),"-",(F70/$D$50*$D$47*$B$68)*($B$57/$D$68))</f>
        <v>611.96071646588234</v>
      </c>
      <c r="H70" s="138">
        <f t="shared" si="0"/>
        <v>101.99345274431373</v>
      </c>
    </row>
    <row r="71" spans="1:8" ht="27" customHeight="1" thickBot="1" x14ac:dyDescent="0.45">
      <c r="A71" s="249"/>
      <c r="B71" s="250"/>
      <c r="C71" s="246"/>
      <c r="D71" s="245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71</v>
      </c>
      <c r="G72" s="147">
        <f>AVERAGE(G60:G71)</f>
        <v>595.27019979419629</v>
      </c>
      <c r="H72" s="148">
        <f>AVERAGE(H60:H71)</f>
        <v>99.211699965699367</v>
      </c>
    </row>
    <row r="73" spans="1:8" ht="26.25" customHeight="1" x14ac:dyDescent="0.4">
      <c r="C73" s="107"/>
      <c r="D73" s="107"/>
      <c r="E73" s="107"/>
      <c r="F73" s="149" t="s">
        <v>84</v>
      </c>
      <c r="G73" s="150">
        <f>STDEV(G60:G71)/G72</f>
        <v>1.6889186821088555E-2</v>
      </c>
      <c r="H73" s="150">
        <f>STDEV(H60:H71)/H72</f>
        <v>1.688918682108858E-2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6</v>
      </c>
      <c r="H74" s="152">
        <f>COUNT(H60:H71)</f>
        <v>6</v>
      </c>
    </row>
    <row r="76" spans="1:8" ht="26.25" customHeight="1" x14ac:dyDescent="0.4">
      <c r="A76" s="62" t="s">
        <v>106</v>
      </c>
      <c r="B76" s="63" t="s">
        <v>107</v>
      </c>
      <c r="C76" s="229" t="str">
        <f>B26</f>
        <v>Efavirenz</v>
      </c>
      <c r="D76" s="229"/>
      <c r="E76" s="52" t="s">
        <v>108</v>
      </c>
      <c r="F76" s="52"/>
      <c r="G76" s="153">
        <f>H72</f>
        <v>99.211699965699367</v>
      </c>
      <c r="H76" s="67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31" t="str">
        <f>B26</f>
        <v>Efavirenz</v>
      </c>
      <c r="C79" s="231"/>
    </row>
    <row r="80" spans="1:8" ht="26.25" customHeight="1" x14ac:dyDescent="0.4">
      <c r="A80" s="63" t="s">
        <v>48</v>
      </c>
      <c r="B80" s="231" t="str">
        <f>B27</f>
        <v>E04 04</v>
      </c>
      <c r="C80" s="231"/>
    </row>
    <row r="81" spans="1:12" ht="27" customHeight="1" thickBot="1" x14ac:dyDescent="0.45">
      <c r="A81" s="63" t="s">
        <v>6</v>
      </c>
      <c r="B81" s="64">
        <f>B28</f>
        <v>98.9</v>
      </c>
    </row>
    <row r="82" spans="1:12" s="49" customFormat="1" ht="27" customHeight="1" thickBot="1" x14ac:dyDescent="0.45">
      <c r="A82" s="63" t="s">
        <v>49</v>
      </c>
      <c r="B82" s="65">
        <v>0</v>
      </c>
      <c r="C82" s="232" t="s">
        <v>50</v>
      </c>
      <c r="D82" s="233"/>
      <c r="E82" s="233"/>
      <c r="F82" s="233"/>
      <c r="G82" s="234"/>
      <c r="I82" s="66"/>
      <c r="J82" s="66"/>
      <c r="K82" s="66"/>
      <c r="L82" s="66"/>
    </row>
    <row r="83" spans="1:12" s="49" customFormat="1" ht="19.5" customHeight="1" thickBot="1" x14ac:dyDescent="0.35">
      <c r="A83" s="63" t="s">
        <v>51</v>
      </c>
      <c r="B83" s="67">
        <f>B81-B82</f>
        <v>98.9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9" customFormat="1" ht="27" customHeight="1" thickBot="1" x14ac:dyDescent="0.45">
      <c r="A84" s="63" t="s">
        <v>52</v>
      </c>
      <c r="B84" s="70">
        <v>1</v>
      </c>
      <c r="C84" s="235" t="s">
        <v>111</v>
      </c>
      <c r="D84" s="236"/>
      <c r="E84" s="236"/>
      <c r="F84" s="236"/>
      <c r="G84" s="236"/>
      <c r="H84" s="237"/>
      <c r="I84" s="66"/>
      <c r="J84" s="66"/>
      <c r="K84" s="66"/>
      <c r="L84" s="66"/>
    </row>
    <row r="85" spans="1:12" s="49" customFormat="1" ht="27" customHeight="1" thickBot="1" x14ac:dyDescent="0.45">
      <c r="A85" s="63" t="s">
        <v>54</v>
      </c>
      <c r="B85" s="70">
        <v>1</v>
      </c>
      <c r="C85" s="235" t="s">
        <v>112</v>
      </c>
      <c r="D85" s="236"/>
      <c r="E85" s="236"/>
      <c r="F85" s="236"/>
      <c r="G85" s="236"/>
      <c r="H85" s="237"/>
      <c r="I85" s="66"/>
      <c r="J85" s="66"/>
      <c r="K85" s="66"/>
      <c r="L85" s="66"/>
    </row>
    <row r="86" spans="1:12" s="49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9" customFormat="1" ht="18.75" x14ac:dyDescent="0.3">
      <c r="A87" s="63" t="s">
        <v>56</v>
      </c>
      <c r="B87" s="75">
        <f>B84/B85</f>
        <v>1</v>
      </c>
      <c r="C87" s="52" t="s">
        <v>57</v>
      </c>
      <c r="D87" s="52"/>
      <c r="E87" s="52"/>
      <c r="F87" s="52"/>
      <c r="G87" s="52"/>
      <c r="I87" s="66"/>
      <c r="J87" s="66"/>
      <c r="K87" s="66"/>
      <c r="L87" s="66"/>
    </row>
    <row r="88" spans="1:12" ht="19.5" customHeight="1" thickBot="1" x14ac:dyDescent="0.35">
      <c r="A88" s="61"/>
      <c r="B88" s="61"/>
    </row>
    <row r="89" spans="1:12" ht="27" customHeight="1" thickBot="1" x14ac:dyDescent="0.45">
      <c r="A89" s="76" t="s">
        <v>58</v>
      </c>
      <c r="B89" s="77">
        <v>50</v>
      </c>
      <c r="D89" s="154" t="s">
        <v>59</v>
      </c>
      <c r="E89" s="155"/>
      <c r="F89" s="238" t="s">
        <v>60</v>
      </c>
      <c r="G89" s="239"/>
    </row>
    <row r="90" spans="1:12" ht="27" customHeight="1" thickBot="1" x14ac:dyDescent="0.45">
      <c r="A90" s="78" t="s">
        <v>61</v>
      </c>
      <c r="B90" s="79">
        <v>1</v>
      </c>
      <c r="C90" s="156" t="s">
        <v>62</v>
      </c>
      <c r="D90" s="81" t="s">
        <v>63</v>
      </c>
      <c r="E90" s="82" t="s">
        <v>64</v>
      </c>
      <c r="F90" s="81" t="s">
        <v>63</v>
      </c>
      <c r="G90" s="157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1</v>
      </c>
      <c r="C91" s="158">
        <v>1</v>
      </c>
      <c r="D91" s="354">
        <v>36606538</v>
      </c>
      <c r="E91" s="87">
        <f>IF(ISBLANK(D91),"-",$D$101/$D$98*D91)</f>
        <v>45809020.51276917</v>
      </c>
      <c r="F91" s="354">
        <v>37139183</v>
      </c>
      <c r="G91" s="88">
        <f>IF(ISBLANK(F91),"-",$D$101/$F$98*F91)</f>
        <v>45628502.838636898</v>
      </c>
      <c r="I91" s="89"/>
    </row>
    <row r="92" spans="1:12" ht="26.25" customHeight="1" x14ac:dyDescent="0.4">
      <c r="A92" s="78" t="s">
        <v>67</v>
      </c>
      <c r="B92" s="79">
        <v>1</v>
      </c>
      <c r="C92" s="107">
        <v>2</v>
      </c>
      <c r="D92" s="355">
        <v>36606066</v>
      </c>
      <c r="E92" s="92">
        <f>IF(ISBLANK(D92),"-",$D$101/$D$98*D92)</f>
        <v>45808429.857141428</v>
      </c>
      <c r="F92" s="355">
        <v>37181406</v>
      </c>
      <c r="G92" s="93">
        <f>IF(ISBLANK(F92),"-",$D$101/$F$98*F92)</f>
        <v>45680377.223578423</v>
      </c>
      <c r="I92" s="220">
        <f>ABS((F96/D96*D95)-F95)/D95</f>
        <v>3.2512599207742045E-3</v>
      </c>
    </row>
    <row r="93" spans="1:12" ht="26.25" customHeight="1" x14ac:dyDescent="0.4">
      <c r="A93" s="78" t="s">
        <v>68</v>
      </c>
      <c r="B93" s="79">
        <v>1</v>
      </c>
      <c r="C93" s="107">
        <v>3</v>
      </c>
      <c r="D93" s="355">
        <v>36628015</v>
      </c>
      <c r="E93" s="92">
        <f>IF(ISBLANK(D93),"-",$D$101/$D$98*D93)</f>
        <v>45835896.595220692</v>
      </c>
      <c r="F93" s="355">
        <v>37202030</v>
      </c>
      <c r="G93" s="93">
        <f>IF(ISBLANK(F93),"-",$D$101/$F$98*F93)</f>
        <v>45705715.482703403</v>
      </c>
      <c r="I93" s="220"/>
    </row>
    <row r="94" spans="1:12" ht="27" customHeight="1" thickBot="1" x14ac:dyDescent="0.45">
      <c r="A94" s="78" t="s">
        <v>69</v>
      </c>
      <c r="B94" s="79">
        <v>1</v>
      </c>
      <c r="C94" s="159">
        <v>4</v>
      </c>
      <c r="D94" s="356"/>
      <c r="E94" s="96" t="str">
        <f>IF(ISBLANK(D94),"-",$D$101/$D$98*D94)</f>
        <v>-</v>
      </c>
      <c r="F94" s="357"/>
      <c r="G94" s="97" t="str">
        <f>IF(ISBLANK(F94),"-",$D$101/$F$98*F94)</f>
        <v>-</v>
      </c>
      <c r="I94" s="98"/>
    </row>
    <row r="95" spans="1:12" ht="27" customHeight="1" thickBot="1" x14ac:dyDescent="0.45">
      <c r="A95" s="78" t="s">
        <v>70</v>
      </c>
      <c r="B95" s="79">
        <v>1</v>
      </c>
      <c r="C95" s="63" t="s">
        <v>71</v>
      </c>
      <c r="D95" s="160">
        <f>AVERAGE(D91:D94)</f>
        <v>36613539.666666664</v>
      </c>
      <c r="E95" s="101">
        <f>AVERAGE(E91:E94)</f>
        <v>45817782.32171043</v>
      </c>
      <c r="F95" s="161">
        <f>AVERAGE(F91:F94)</f>
        <v>37174206.333333336</v>
      </c>
      <c r="G95" s="162">
        <f>AVERAGE(G91:G94)</f>
        <v>45671531.848306239</v>
      </c>
    </row>
    <row r="96" spans="1:12" ht="26.25" customHeight="1" x14ac:dyDescent="0.4">
      <c r="A96" s="78" t="s">
        <v>72</v>
      </c>
      <c r="B96" s="64">
        <v>1</v>
      </c>
      <c r="C96" s="163" t="s">
        <v>113</v>
      </c>
      <c r="D96" s="164">
        <v>24.24</v>
      </c>
      <c r="E96" s="52"/>
      <c r="F96" s="104">
        <v>24.69</v>
      </c>
    </row>
    <row r="97" spans="1:10" ht="26.25" customHeight="1" x14ac:dyDescent="0.4">
      <c r="A97" s="78" t="s">
        <v>74</v>
      </c>
      <c r="B97" s="64">
        <v>1</v>
      </c>
      <c r="C97" s="165" t="s">
        <v>114</v>
      </c>
      <c r="D97" s="166">
        <f>D96*$B$87</f>
        <v>24.24</v>
      </c>
      <c r="E97" s="107"/>
      <c r="F97" s="106">
        <f>F96*$B$87</f>
        <v>24.69</v>
      </c>
    </row>
    <row r="98" spans="1:10" ht="19.5" customHeight="1" thickBot="1" x14ac:dyDescent="0.35">
      <c r="A98" s="78" t="s">
        <v>76</v>
      </c>
      <c r="B98" s="107">
        <f>(B97/B96)*(B95/B94)*(B93/B92)*(B91/B90)*B89</f>
        <v>50</v>
      </c>
      <c r="C98" s="165" t="s">
        <v>115</v>
      </c>
      <c r="D98" s="167">
        <f>D97*$B$83/100</f>
        <v>23.97336</v>
      </c>
      <c r="E98" s="109"/>
      <c r="F98" s="108">
        <f>F97*$B$83/100</f>
        <v>24.418410000000005</v>
      </c>
    </row>
    <row r="99" spans="1:10" ht="19.5" customHeight="1" thickBot="1" x14ac:dyDescent="0.35">
      <c r="A99" s="221" t="s">
        <v>78</v>
      </c>
      <c r="B99" s="222"/>
      <c r="C99" s="165" t="s">
        <v>116</v>
      </c>
      <c r="D99" s="168">
        <f>D98/$B$98</f>
        <v>0.47946719999999998</v>
      </c>
      <c r="E99" s="109"/>
      <c r="F99" s="112">
        <f>F98/$B$98</f>
        <v>0.48836820000000009</v>
      </c>
      <c r="H99" s="50"/>
    </row>
    <row r="100" spans="1:10" ht="19.5" customHeight="1" thickBot="1" x14ac:dyDescent="0.35">
      <c r="A100" s="223"/>
      <c r="B100" s="224"/>
      <c r="C100" s="165" t="s">
        <v>80</v>
      </c>
      <c r="D100" s="169">
        <f>$B$56/$B$116</f>
        <v>0.6</v>
      </c>
      <c r="F100" s="117"/>
      <c r="G100" s="170"/>
      <c r="H100" s="50"/>
    </row>
    <row r="101" spans="1:10" ht="18.75" x14ac:dyDescent="0.3">
      <c r="C101" s="165" t="s">
        <v>81</v>
      </c>
      <c r="D101" s="166">
        <f>D100*$B$98</f>
        <v>30</v>
      </c>
      <c r="F101" s="117"/>
      <c r="H101" s="50"/>
    </row>
    <row r="102" spans="1:10" ht="19.5" customHeight="1" thickBot="1" x14ac:dyDescent="0.35">
      <c r="C102" s="171" t="s">
        <v>82</v>
      </c>
      <c r="D102" s="172">
        <f>D101/B34</f>
        <v>30</v>
      </c>
      <c r="F102" s="121"/>
      <c r="H102" s="50"/>
      <c r="J102" s="173"/>
    </row>
    <row r="103" spans="1:10" ht="18.75" x14ac:dyDescent="0.3">
      <c r="C103" s="174" t="s">
        <v>117</v>
      </c>
      <c r="D103" s="175">
        <f>AVERAGE(E91:E94,G91:G94)</f>
        <v>45744657.085008331</v>
      </c>
      <c r="F103" s="121"/>
      <c r="G103" s="170"/>
      <c r="H103" s="50"/>
      <c r="J103" s="176"/>
    </row>
    <row r="104" spans="1:10" ht="18.75" x14ac:dyDescent="0.3">
      <c r="C104" s="149" t="s">
        <v>84</v>
      </c>
      <c r="D104" s="177">
        <f>STDEV(E91:E94,G91:G94)/D103</f>
        <v>1.8465161183347744E-3</v>
      </c>
      <c r="F104" s="121"/>
      <c r="H104" s="50"/>
      <c r="J104" s="176"/>
    </row>
    <row r="105" spans="1:10" ht="19.5" customHeight="1" thickBot="1" x14ac:dyDescent="0.35">
      <c r="C105" s="151" t="s">
        <v>20</v>
      </c>
      <c r="D105" s="178">
        <f>COUNT(E91:E94,G91:G94)</f>
        <v>6</v>
      </c>
      <c r="F105" s="121"/>
      <c r="H105" s="50"/>
      <c r="J105" s="176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6" t="s">
        <v>118</v>
      </c>
      <c r="B107" s="77">
        <v>1000</v>
      </c>
      <c r="C107" s="131" t="s">
        <v>119</v>
      </c>
      <c r="D107" s="131" t="s">
        <v>63</v>
      </c>
      <c r="E107" s="131" t="s">
        <v>120</v>
      </c>
      <c r="F107" s="179" t="s">
        <v>121</v>
      </c>
    </row>
    <row r="108" spans="1:10" ht="26.25" customHeight="1" x14ac:dyDescent="0.4">
      <c r="A108" s="78" t="s">
        <v>122</v>
      </c>
      <c r="B108" s="79">
        <v>1</v>
      </c>
      <c r="C108" s="132">
        <v>1</v>
      </c>
      <c r="D108" s="180">
        <v>43732196</v>
      </c>
      <c r="E108" s="181">
        <f t="shared" ref="E108:E113" si="1">IF(ISBLANK(D108),"-",D108/$D$103*$D$100*$B$116)</f>
        <v>573.60398507827654</v>
      </c>
      <c r="F108" s="182">
        <f t="shared" ref="F108:F113" si="2">IF(ISBLANK(D108), "-", (E108/$B$56)*100)</f>
        <v>95.600664179712751</v>
      </c>
    </row>
    <row r="109" spans="1:10" ht="26.25" customHeight="1" x14ac:dyDescent="0.4">
      <c r="A109" s="78" t="s">
        <v>95</v>
      </c>
      <c r="B109" s="79">
        <v>1</v>
      </c>
      <c r="C109" s="136">
        <v>2</v>
      </c>
      <c r="D109" s="183">
        <v>43990216</v>
      </c>
      <c r="E109" s="184">
        <f t="shared" si="1"/>
        <v>576.98824916210856</v>
      </c>
      <c r="F109" s="185">
        <f t="shared" si="2"/>
        <v>96.16470819368476</v>
      </c>
    </row>
    <row r="110" spans="1:10" ht="26.25" customHeight="1" x14ac:dyDescent="0.4">
      <c r="A110" s="78" t="s">
        <v>96</v>
      </c>
      <c r="B110" s="79">
        <v>1</v>
      </c>
      <c r="C110" s="136">
        <v>3</v>
      </c>
      <c r="D110" s="183">
        <v>43989010</v>
      </c>
      <c r="E110" s="184">
        <f t="shared" si="1"/>
        <v>576.97243092133226</v>
      </c>
      <c r="F110" s="185">
        <f t="shared" si="2"/>
        <v>96.162071820222039</v>
      </c>
    </row>
    <row r="111" spans="1:10" ht="26.25" customHeight="1" x14ac:dyDescent="0.4">
      <c r="A111" s="78" t="s">
        <v>97</v>
      </c>
      <c r="B111" s="79">
        <v>1</v>
      </c>
      <c r="C111" s="136">
        <v>4</v>
      </c>
      <c r="D111" s="183">
        <v>43986905</v>
      </c>
      <c r="E111" s="184">
        <f t="shared" si="1"/>
        <v>576.94482113954609</v>
      </c>
      <c r="F111" s="185">
        <f t="shared" si="2"/>
        <v>96.157470189924339</v>
      </c>
    </row>
    <row r="112" spans="1:10" ht="26.25" customHeight="1" x14ac:dyDescent="0.4">
      <c r="A112" s="78" t="s">
        <v>98</v>
      </c>
      <c r="B112" s="79">
        <v>1</v>
      </c>
      <c r="C112" s="136">
        <v>5</v>
      </c>
      <c r="D112" s="183">
        <v>43902481</v>
      </c>
      <c r="E112" s="184">
        <f t="shared" si="1"/>
        <v>575.83749182006136</v>
      </c>
      <c r="F112" s="185">
        <f t="shared" si="2"/>
        <v>95.972915303343569</v>
      </c>
    </row>
    <row r="113" spans="1:10" ht="27" customHeight="1" thickBot="1" x14ac:dyDescent="0.45">
      <c r="A113" s="78" t="s">
        <v>100</v>
      </c>
      <c r="B113" s="79">
        <v>1</v>
      </c>
      <c r="C113" s="140">
        <v>6</v>
      </c>
      <c r="D113" s="186">
        <v>43942864</v>
      </c>
      <c r="E113" s="187">
        <f t="shared" si="1"/>
        <v>576.36716679292158</v>
      </c>
      <c r="F113" s="188">
        <f t="shared" si="2"/>
        <v>96.061194465486935</v>
      </c>
    </row>
    <row r="114" spans="1:10" ht="27" customHeight="1" thickBot="1" x14ac:dyDescent="0.45">
      <c r="A114" s="78" t="s">
        <v>101</v>
      </c>
      <c r="B114" s="79">
        <v>1</v>
      </c>
      <c r="C114" s="189"/>
      <c r="D114" s="107"/>
      <c r="E114" s="52"/>
      <c r="F114" s="185"/>
    </row>
    <row r="115" spans="1:10" ht="26.25" customHeight="1" x14ac:dyDescent="0.4">
      <c r="A115" s="78" t="s">
        <v>102</v>
      </c>
      <c r="B115" s="79">
        <v>1</v>
      </c>
      <c r="C115" s="189"/>
      <c r="D115" s="190" t="s">
        <v>71</v>
      </c>
      <c r="E115" s="191">
        <f>AVERAGE(E108:E113)</f>
        <v>576.11902415237444</v>
      </c>
      <c r="F115" s="192">
        <f>AVERAGE(F108:F113)</f>
        <v>96.019837358729049</v>
      </c>
    </row>
    <row r="116" spans="1:10" ht="27" customHeight="1" thickBot="1" x14ac:dyDescent="0.45">
      <c r="A116" s="78" t="s">
        <v>103</v>
      </c>
      <c r="B116" s="90">
        <f>(B115/B114)*(B113/B112)*(B111/B110)*(B109/B108)*B107</f>
        <v>1000</v>
      </c>
      <c r="C116" s="193"/>
      <c r="D116" s="194" t="s">
        <v>84</v>
      </c>
      <c r="E116" s="150">
        <f>STDEV(E108:E113)/E115</f>
        <v>2.2806562002861785E-3</v>
      </c>
      <c r="F116" s="195">
        <f>STDEV(F108:F113)/F115</f>
        <v>2.2806562002861772E-3</v>
      </c>
      <c r="I116" s="52"/>
    </row>
    <row r="117" spans="1:10" ht="27" customHeight="1" thickBot="1" x14ac:dyDescent="0.45">
      <c r="A117" s="221" t="s">
        <v>78</v>
      </c>
      <c r="B117" s="225"/>
      <c r="C117" s="196"/>
      <c r="D117" s="151" t="s">
        <v>20</v>
      </c>
      <c r="E117" s="197">
        <f>COUNT(E108:E113)</f>
        <v>6</v>
      </c>
      <c r="F117" s="198">
        <f>COUNT(F108:F113)</f>
        <v>6</v>
      </c>
      <c r="I117" s="52"/>
      <c r="J117" s="176"/>
    </row>
    <row r="118" spans="1:10" ht="26.25" customHeight="1" thickBot="1" x14ac:dyDescent="0.35">
      <c r="A118" s="223"/>
      <c r="B118" s="226"/>
      <c r="C118" s="52"/>
      <c r="D118" s="199"/>
      <c r="E118" s="227" t="s">
        <v>123</v>
      </c>
      <c r="F118" s="228"/>
      <c r="G118" s="52"/>
      <c r="H118" s="52"/>
      <c r="I118" s="52"/>
    </row>
    <row r="119" spans="1:10" ht="25.5" customHeight="1" x14ac:dyDescent="0.4">
      <c r="A119" s="200"/>
      <c r="B119" s="74"/>
      <c r="C119" s="52"/>
      <c r="D119" s="194" t="s">
        <v>124</v>
      </c>
      <c r="E119" s="201">
        <f>MIN(E108:E113)</f>
        <v>573.60398507827654</v>
      </c>
      <c r="F119" s="202">
        <f>MIN(F108:F113)</f>
        <v>95.600664179712751</v>
      </c>
      <c r="G119" s="52"/>
      <c r="H119" s="52"/>
      <c r="I119" s="52"/>
    </row>
    <row r="120" spans="1:10" ht="24" customHeight="1" thickBot="1" x14ac:dyDescent="0.45">
      <c r="A120" s="200"/>
      <c r="B120" s="74"/>
      <c r="C120" s="52"/>
      <c r="D120" s="118" t="s">
        <v>125</v>
      </c>
      <c r="E120" s="203">
        <f>MAX(E108:E113)</f>
        <v>576.98824916210856</v>
      </c>
      <c r="F120" s="204">
        <f>MAX(F108:F113)</f>
        <v>96.16470819368476</v>
      </c>
      <c r="G120" s="52"/>
      <c r="H120" s="52"/>
      <c r="I120" s="52"/>
    </row>
    <row r="121" spans="1:10" ht="27" customHeight="1" x14ac:dyDescent="0.3">
      <c r="A121" s="200"/>
      <c r="B121" s="74"/>
      <c r="C121" s="52"/>
      <c r="D121" s="52"/>
      <c r="E121" s="52"/>
      <c r="F121" s="107"/>
      <c r="G121" s="52"/>
      <c r="H121" s="52"/>
      <c r="I121" s="52"/>
    </row>
    <row r="122" spans="1:10" ht="25.5" customHeight="1" x14ac:dyDescent="0.3">
      <c r="A122" s="200"/>
      <c r="B122" s="74"/>
      <c r="C122" s="52"/>
      <c r="D122" s="52"/>
      <c r="E122" s="52"/>
      <c r="F122" s="107"/>
      <c r="G122" s="52"/>
      <c r="H122" s="52"/>
      <c r="I122" s="52"/>
    </row>
    <row r="123" spans="1:10" ht="18.75" x14ac:dyDescent="0.3">
      <c r="A123" s="200"/>
      <c r="B123" s="74"/>
      <c r="C123" s="52"/>
      <c r="D123" s="52"/>
      <c r="E123" s="52"/>
      <c r="F123" s="107"/>
      <c r="G123" s="52"/>
      <c r="H123" s="52"/>
      <c r="I123" s="52"/>
    </row>
    <row r="124" spans="1:10" ht="45.75" customHeight="1" x14ac:dyDescent="0.65">
      <c r="A124" s="62" t="s">
        <v>106</v>
      </c>
      <c r="B124" s="63" t="s">
        <v>126</v>
      </c>
      <c r="C124" s="229" t="str">
        <f>B26</f>
        <v>Efavirenz</v>
      </c>
      <c r="D124" s="229"/>
      <c r="E124" s="52" t="s">
        <v>127</v>
      </c>
      <c r="F124" s="52"/>
      <c r="G124" s="205">
        <f>F115</f>
        <v>96.019837358729049</v>
      </c>
      <c r="H124" s="52"/>
      <c r="I124" s="52"/>
    </row>
    <row r="125" spans="1:10" ht="45.75" customHeight="1" x14ac:dyDescent="0.65">
      <c r="A125" s="62"/>
      <c r="B125" s="63" t="s">
        <v>128</v>
      </c>
      <c r="C125" s="63" t="s">
        <v>129</v>
      </c>
      <c r="D125" s="205">
        <f>MIN(F108:F113)</f>
        <v>95.600664179712751</v>
      </c>
      <c r="E125" s="63" t="s">
        <v>130</v>
      </c>
      <c r="F125" s="205">
        <f>MAX(F108:F113)</f>
        <v>96.16470819368476</v>
      </c>
      <c r="G125" s="153"/>
      <c r="H125" s="52"/>
      <c r="I125" s="52"/>
    </row>
    <row r="126" spans="1:10" ht="19.5" customHeight="1" thickBot="1" x14ac:dyDescent="0.35">
      <c r="A126" s="206"/>
      <c r="B126" s="206"/>
      <c r="C126" s="207"/>
      <c r="D126" s="207"/>
      <c r="E126" s="207"/>
      <c r="F126" s="207"/>
      <c r="G126" s="207"/>
      <c r="H126" s="207"/>
    </row>
    <row r="127" spans="1:10" ht="18.75" x14ac:dyDescent="0.3">
      <c r="B127" s="230" t="s">
        <v>26</v>
      </c>
      <c r="C127" s="230"/>
      <c r="E127" s="156" t="s">
        <v>27</v>
      </c>
      <c r="F127" s="208"/>
      <c r="G127" s="230" t="s">
        <v>28</v>
      </c>
      <c r="H127" s="230"/>
    </row>
    <row r="128" spans="1:10" ht="69.95" customHeight="1" x14ac:dyDescent="0.3">
      <c r="A128" s="62" t="s">
        <v>29</v>
      </c>
      <c r="B128" s="209"/>
      <c r="C128" s="209"/>
      <c r="E128" s="209"/>
      <c r="F128" s="52"/>
      <c r="G128" s="209"/>
      <c r="H128" s="209"/>
    </row>
    <row r="129" spans="1:9" ht="69.95" customHeight="1" x14ac:dyDescent="0.3">
      <c r="A129" s="62" t="s">
        <v>30</v>
      </c>
      <c r="B129" s="210"/>
      <c r="C129" s="210"/>
      <c r="E129" s="210"/>
      <c r="F129" s="52"/>
      <c r="G129" s="211"/>
      <c r="H129" s="211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52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52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52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52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52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52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52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52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52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31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1"/>
  </cols>
  <sheetData>
    <row r="1" spans="1:9" ht="18.75" customHeight="1" x14ac:dyDescent="0.25">
      <c r="A1" s="255" t="s">
        <v>45</v>
      </c>
      <c r="B1" s="255"/>
      <c r="C1" s="255"/>
      <c r="D1" s="255"/>
      <c r="E1" s="255"/>
      <c r="F1" s="255"/>
      <c r="G1" s="255"/>
      <c r="H1" s="255"/>
      <c r="I1" s="255"/>
    </row>
    <row r="2" spans="1:9" ht="18.75" customHeight="1" x14ac:dyDescent="0.25">
      <c r="A2" s="255"/>
      <c r="B2" s="255"/>
      <c r="C2" s="255"/>
      <c r="D2" s="255"/>
      <c r="E2" s="255"/>
      <c r="F2" s="255"/>
      <c r="G2" s="255"/>
      <c r="H2" s="255"/>
      <c r="I2" s="255"/>
    </row>
    <row r="3" spans="1:9" ht="18.75" customHeight="1" x14ac:dyDescent="0.25">
      <c r="A3" s="255"/>
      <c r="B3" s="255"/>
      <c r="C3" s="255"/>
      <c r="D3" s="255"/>
      <c r="E3" s="255"/>
      <c r="F3" s="255"/>
      <c r="G3" s="255"/>
      <c r="H3" s="255"/>
      <c r="I3" s="255"/>
    </row>
    <row r="4" spans="1:9" ht="18.75" customHeight="1" x14ac:dyDescent="0.25">
      <c r="A4" s="255"/>
      <c r="B4" s="255"/>
      <c r="C4" s="255"/>
      <c r="D4" s="255"/>
      <c r="E4" s="255"/>
      <c r="F4" s="255"/>
      <c r="G4" s="255"/>
      <c r="H4" s="255"/>
      <c r="I4" s="255"/>
    </row>
    <row r="5" spans="1:9" ht="18.75" customHeight="1" x14ac:dyDescent="0.25">
      <c r="A5" s="255"/>
      <c r="B5" s="255"/>
      <c r="C5" s="255"/>
      <c r="D5" s="255"/>
      <c r="E5" s="255"/>
      <c r="F5" s="255"/>
      <c r="G5" s="255"/>
      <c r="H5" s="255"/>
      <c r="I5" s="255"/>
    </row>
    <row r="6" spans="1:9" ht="18.75" customHeight="1" x14ac:dyDescent="0.25">
      <c r="A6" s="255"/>
      <c r="B6" s="255"/>
      <c r="C6" s="255"/>
      <c r="D6" s="255"/>
      <c r="E6" s="255"/>
      <c r="F6" s="255"/>
      <c r="G6" s="255"/>
      <c r="H6" s="255"/>
      <c r="I6" s="255"/>
    </row>
    <row r="7" spans="1:9" ht="18.75" customHeight="1" x14ac:dyDescent="0.25">
      <c r="A7" s="255"/>
      <c r="B7" s="255"/>
      <c r="C7" s="255"/>
      <c r="D7" s="255"/>
      <c r="E7" s="255"/>
      <c r="F7" s="255"/>
      <c r="G7" s="255"/>
      <c r="H7" s="255"/>
      <c r="I7" s="255"/>
    </row>
    <row r="8" spans="1:9" x14ac:dyDescent="0.25">
      <c r="A8" s="256" t="s">
        <v>46</v>
      </c>
      <c r="B8" s="256"/>
      <c r="C8" s="256"/>
      <c r="D8" s="256"/>
      <c r="E8" s="256"/>
      <c r="F8" s="256"/>
      <c r="G8" s="256"/>
      <c r="H8" s="256"/>
      <c r="I8" s="256"/>
    </row>
    <row r="9" spans="1:9" x14ac:dyDescent="0.25">
      <c r="A9" s="256"/>
      <c r="B9" s="256"/>
      <c r="C9" s="256"/>
      <c r="D9" s="256"/>
      <c r="E9" s="256"/>
      <c r="F9" s="256"/>
      <c r="G9" s="256"/>
      <c r="H9" s="256"/>
      <c r="I9" s="256"/>
    </row>
    <row r="10" spans="1:9" x14ac:dyDescent="0.25">
      <c r="A10" s="256"/>
      <c r="B10" s="256"/>
      <c r="C10" s="256"/>
      <c r="D10" s="256"/>
      <c r="E10" s="256"/>
      <c r="F10" s="256"/>
      <c r="G10" s="256"/>
      <c r="H10" s="256"/>
      <c r="I10" s="256"/>
    </row>
    <row r="11" spans="1:9" x14ac:dyDescent="0.25">
      <c r="A11" s="256"/>
      <c r="B11" s="256"/>
      <c r="C11" s="256"/>
      <c r="D11" s="256"/>
      <c r="E11" s="256"/>
      <c r="F11" s="256"/>
      <c r="G11" s="256"/>
      <c r="H11" s="256"/>
      <c r="I11" s="256"/>
    </row>
    <row r="12" spans="1:9" x14ac:dyDescent="0.25">
      <c r="A12" s="256"/>
      <c r="B12" s="256"/>
      <c r="C12" s="256"/>
      <c r="D12" s="256"/>
      <c r="E12" s="256"/>
      <c r="F12" s="256"/>
      <c r="G12" s="256"/>
      <c r="H12" s="256"/>
      <c r="I12" s="256"/>
    </row>
    <row r="13" spans="1:9" x14ac:dyDescent="0.25">
      <c r="A13" s="256"/>
      <c r="B13" s="256"/>
      <c r="C13" s="256"/>
      <c r="D13" s="256"/>
      <c r="E13" s="256"/>
      <c r="F13" s="256"/>
      <c r="G13" s="256"/>
      <c r="H13" s="256"/>
      <c r="I13" s="256"/>
    </row>
    <row r="14" spans="1:9" x14ac:dyDescent="0.25">
      <c r="A14" s="256"/>
      <c r="B14" s="256"/>
      <c r="C14" s="256"/>
      <c r="D14" s="256"/>
      <c r="E14" s="256"/>
      <c r="F14" s="256"/>
      <c r="G14" s="256"/>
      <c r="H14" s="256"/>
      <c r="I14" s="256"/>
    </row>
    <row r="15" spans="1:9" ht="19.5" customHeight="1" thickBot="1" x14ac:dyDescent="0.35">
      <c r="A15" s="52"/>
    </row>
    <row r="16" spans="1:9" ht="19.5" customHeight="1" thickBot="1" x14ac:dyDescent="0.35">
      <c r="A16" s="257" t="s">
        <v>31</v>
      </c>
      <c r="B16" s="258"/>
      <c r="C16" s="258"/>
      <c r="D16" s="258"/>
      <c r="E16" s="258"/>
      <c r="F16" s="258"/>
      <c r="G16" s="258"/>
      <c r="H16" s="259"/>
    </row>
    <row r="17" spans="1:14" ht="20.25" customHeight="1" x14ac:dyDescent="0.25">
      <c r="A17" s="260" t="s">
        <v>47</v>
      </c>
      <c r="B17" s="260"/>
      <c r="C17" s="260"/>
      <c r="D17" s="260"/>
      <c r="E17" s="260"/>
      <c r="F17" s="260"/>
      <c r="G17" s="260"/>
      <c r="H17" s="260"/>
    </row>
    <row r="18" spans="1:14" ht="26.25" customHeight="1" x14ac:dyDescent="0.4">
      <c r="A18" s="53" t="s">
        <v>33</v>
      </c>
      <c r="B18" s="253" t="e">
        <f>#REF!</f>
        <v>#REF!</v>
      </c>
      <c r="C18" s="253"/>
      <c r="D18" s="54"/>
      <c r="E18" s="55"/>
      <c r="F18" s="56"/>
      <c r="G18" s="56"/>
      <c r="H18" s="56"/>
    </row>
    <row r="19" spans="1:14" ht="26.25" customHeight="1" x14ac:dyDescent="0.4">
      <c r="A19" s="53" t="s">
        <v>34</v>
      </c>
      <c r="B19" s="57" t="s">
        <v>7</v>
      </c>
      <c r="C19" s="56">
        <v>1</v>
      </c>
      <c r="D19" s="56"/>
      <c r="E19" s="56"/>
      <c r="F19" s="56"/>
      <c r="G19" s="56"/>
      <c r="H19" s="56"/>
    </row>
    <row r="20" spans="1:14" ht="26.25" customHeight="1" x14ac:dyDescent="0.4">
      <c r="A20" s="53" t="s">
        <v>35</v>
      </c>
      <c r="B20" s="252" t="s">
        <v>135</v>
      </c>
      <c r="C20" s="252"/>
      <c r="D20" s="56"/>
      <c r="E20" s="56"/>
      <c r="F20" s="56"/>
      <c r="G20" s="56"/>
      <c r="H20" s="56"/>
    </row>
    <row r="21" spans="1:14" ht="26.25" customHeight="1" x14ac:dyDescent="0.4">
      <c r="A21" s="53" t="s">
        <v>36</v>
      </c>
      <c r="B21" s="252" t="str">
        <f>'Lamivudine '!B21</f>
        <v>Each film coated tablet contains: Tenofovir Disoproxil Fumarate 300 mg equivalent to Tenofovir Disoproxil 245 mg and Lamivudine USP 300 mg.</v>
      </c>
      <c r="C21" s="252"/>
      <c r="D21" s="252"/>
      <c r="E21" s="252"/>
      <c r="F21" s="252"/>
      <c r="G21" s="252"/>
      <c r="H21" s="252"/>
      <c r="I21" s="58"/>
    </row>
    <row r="22" spans="1:14" ht="26.25" customHeight="1" x14ac:dyDescent="0.4">
      <c r="A22" s="53" t="s">
        <v>37</v>
      </c>
      <c r="B22" s="59">
        <v>42678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3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3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53" t="s">
        <v>137</v>
      </c>
      <c r="C26" s="253"/>
    </row>
    <row r="27" spans="1:14" ht="26.25" customHeight="1" x14ac:dyDescent="0.4">
      <c r="A27" s="63" t="s">
        <v>48</v>
      </c>
      <c r="B27" s="254" t="s">
        <v>138</v>
      </c>
      <c r="C27" s="254"/>
    </row>
    <row r="28" spans="1:14" ht="27" customHeight="1" thickBot="1" x14ac:dyDescent="0.45">
      <c r="A28" s="63" t="s">
        <v>6</v>
      </c>
      <c r="B28" s="64">
        <v>98.8</v>
      </c>
    </row>
    <row r="29" spans="1:14" s="49" customFormat="1" ht="27" customHeight="1" thickBot="1" x14ac:dyDescent="0.45">
      <c r="A29" s="63" t="s">
        <v>49</v>
      </c>
      <c r="B29" s="65">
        <v>0</v>
      </c>
      <c r="C29" s="232" t="s">
        <v>50</v>
      </c>
      <c r="D29" s="233"/>
      <c r="E29" s="233"/>
      <c r="F29" s="233"/>
      <c r="G29" s="234"/>
      <c r="I29" s="66"/>
      <c r="J29" s="66"/>
      <c r="K29" s="66"/>
      <c r="L29" s="66"/>
    </row>
    <row r="30" spans="1:14" s="49" customFormat="1" ht="19.5" customHeight="1" thickBot="1" x14ac:dyDescent="0.35">
      <c r="A30" s="63" t="s">
        <v>51</v>
      </c>
      <c r="B30" s="67">
        <f>B28-B29</f>
        <v>98.8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9" customFormat="1" ht="27" customHeight="1" thickBot="1" x14ac:dyDescent="0.45">
      <c r="A31" s="63" t="s">
        <v>52</v>
      </c>
      <c r="B31" s="70">
        <v>1</v>
      </c>
      <c r="C31" s="235" t="s">
        <v>53</v>
      </c>
      <c r="D31" s="236"/>
      <c r="E31" s="236"/>
      <c r="F31" s="236"/>
      <c r="G31" s="236"/>
      <c r="H31" s="237"/>
      <c r="I31" s="66"/>
      <c r="J31" s="66"/>
      <c r="K31" s="66"/>
      <c r="L31" s="66"/>
    </row>
    <row r="32" spans="1:14" s="49" customFormat="1" ht="27" customHeight="1" thickBot="1" x14ac:dyDescent="0.45">
      <c r="A32" s="63" t="s">
        <v>54</v>
      </c>
      <c r="B32" s="70">
        <v>1</v>
      </c>
      <c r="C32" s="235" t="s">
        <v>55</v>
      </c>
      <c r="D32" s="236"/>
      <c r="E32" s="236"/>
      <c r="F32" s="236"/>
      <c r="G32" s="236"/>
      <c r="H32" s="237"/>
      <c r="I32" s="66"/>
      <c r="J32" s="66"/>
      <c r="K32" s="66"/>
      <c r="L32" s="71"/>
      <c r="M32" s="71"/>
      <c r="N32" s="72"/>
    </row>
    <row r="33" spans="1:14" s="49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9" customFormat="1" ht="18.75" x14ac:dyDescent="0.3">
      <c r="A34" s="63" t="s">
        <v>56</v>
      </c>
      <c r="B34" s="75">
        <f>B31/B32</f>
        <v>1</v>
      </c>
      <c r="C34" s="52" t="s">
        <v>57</v>
      </c>
      <c r="D34" s="52"/>
      <c r="E34" s="52"/>
      <c r="F34" s="52"/>
      <c r="G34" s="52"/>
      <c r="I34" s="66"/>
      <c r="J34" s="66"/>
      <c r="K34" s="66"/>
      <c r="L34" s="71"/>
      <c r="M34" s="71"/>
      <c r="N34" s="72"/>
    </row>
    <row r="35" spans="1:14" s="49" customFormat="1" ht="19.5" customHeight="1" thickBot="1" x14ac:dyDescent="0.35">
      <c r="A35" s="63"/>
      <c r="B35" s="67"/>
      <c r="G35" s="52"/>
      <c r="I35" s="66"/>
      <c r="J35" s="66"/>
      <c r="K35" s="66"/>
      <c r="L35" s="71"/>
      <c r="M35" s="71"/>
      <c r="N35" s="72"/>
    </row>
    <row r="36" spans="1:14" s="49" customFormat="1" ht="27" customHeight="1" thickBot="1" x14ac:dyDescent="0.45">
      <c r="A36" s="76" t="s">
        <v>58</v>
      </c>
      <c r="B36" s="77">
        <v>10</v>
      </c>
      <c r="C36" s="52"/>
      <c r="D36" s="238" t="s">
        <v>59</v>
      </c>
      <c r="E36" s="251"/>
      <c r="F36" s="238" t="s">
        <v>60</v>
      </c>
      <c r="G36" s="239"/>
      <c r="J36" s="66"/>
      <c r="K36" s="66"/>
      <c r="L36" s="71"/>
      <c r="M36" s="71"/>
      <c r="N36" s="72"/>
    </row>
    <row r="37" spans="1:14" s="49" customFormat="1" ht="27" customHeight="1" thickBot="1" x14ac:dyDescent="0.45">
      <c r="A37" s="78" t="s">
        <v>61</v>
      </c>
      <c r="B37" s="79">
        <v>4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49" customFormat="1" ht="26.25" customHeight="1" x14ac:dyDescent="0.4">
      <c r="A38" s="78" t="s">
        <v>66</v>
      </c>
      <c r="B38" s="79">
        <v>50</v>
      </c>
      <c r="C38" s="85">
        <v>1</v>
      </c>
      <c r="D38" s="86">
        <v>14133420</v>
      </c>
      <c r="E38" s="87">
        <f>IF(ISBLANK(D38),"-",$D$48/$D$45*D38)</f>
        <v>16493175.601452637</v>
      </c>
      <c r="F38" s="86">
        <v>18912221</v>
      </c>
      <c r="G38" s="88">
        <f>IF(ISBLANK(F38),"-",$D$48/$F$45*F38)</f>
        <v>16501658.697473127</v>
      </c>
      <c r="I38" s="89"/>
      <c r="J38" s="66"/>
      <c r="K38" s="66"/>
      <c r="L38" s="71"/>
      <c r="M38" s="71"/>
      <c r="N38" s="72"/>
    </row>
    <row r="39" spans="1:14" s="49" customFormat="1" ht="26.25" customHeight="1" x14ac:dyDescent="0.4">
      <c r="A39" s="78" t="s">
        <v>67</v>
      </c>
      <c r="B39" s="79">
        <v>1</v>
      </c>
      <c r="C39" s="90">
        <v>2</v>
      </c>
      <c r="D39" s="91">
        <v>14337071</v>
      </c>
      <c r="E39" s="92">
        <f>IF(ISBLANK(D39),"-",$D$48/$D$45*D39)</f>
        <v>16730828.745872842</v>
      </c>
      <c r="F39" s="91">
        <v>18547875</v>
      </c>
      <c r="G39" s="93">
        <f>IF(ISBLANK(F39),"-",$D$48/$F$45*F39)</f>
        <v>16183752.443110431</v>
      </c>
      <c r="I39" s="220">
        <f>ABS((F43/D43*D42)-F42)/D42</f>
        <v>6.3680275709020132E-3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91">
        <v>13932732</v>
      </c>
      <c r="E40" s="92">
        <f>IF(ISBLANK(D40),"-",$D$48/$D$45*D40)</f>
        <v>16258980.167855933</v>
      </c>
      <c r="F40" s="91">
        <v>18981338</v>
      </c>
      <c r="G40" s="93">
        <f>IF(ISBLANK(F40),"-",$D$48/$F$45*F40)</f>
        <v>16561966.005863467</v>
      </c>
      <c r="I40" s="220"/>
      <c r="L40" s="71"/>
      <c r="M40" s="71"/>
      <c r="N40" s="52"/>
    </row>
    <row r="41" spans="1:14" ht="27" customHeight="1" thickBot="1" x14ac:dyDescent="0.45">
      <c r="A41" s="78" t="s">
        <v>69</v>
      </c>
      <c r="B41" s="79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1"/>
      <c r="M41" s="71"/>
      <c r="N41" s="52"/>
    </row>
    <row r="42" spans="1:14" ht="27" customHeight="1" thickBot="1" x14ac:dyDescent="0.45">
      <c r="A42" s="78" t="s">
        <v>70</v>
      </c>
      <c r="B42" s="79">
        <v>1</v>
      </c>
      <c r="C42" s="99" t="s">
        <v>71</v>
      </c>
      <c r="D42" s="100">
        <f>AVERAGE(D38:D41)</f>
        <v>14134407.666666666</v>
      </c>
      <c r="E42" s="101">
        <f>AVERAGE(E38:E41)</f>
        <v>16494328.171727138</v>
      </c>
      <c r="F42" s="100">
        <f>AVERAGE(F38:F41)</f>
        <v>18813811.333333332</v>
      </c>
      <c r="G42" s="102">
        <f>AVERAGE(G38:G41)</f>
        <v>16415792.382149009</v>
      </c>
      <c r="H42" s="50"/>
    </row>
    <row r="43" spans="1:14" ht="26.25" customHeight="1" x14ac:dyDescent="0.4">
      <c r="A43" s="78" t="s">
        <v>72</v>
      </c>
      <c r="B43" s="79">
        <v>1</v>
      </c>
      <c r="C43" s="103" t="s">
        <v>73</v>
      </c>
      <c r="D43" s="104">
        <v>13.01</v>
      </c>
      <c r="E43" s="52"/>
      <c r="F43" s="104">
        <v>17.399999999999999</v>
      </c>
      <c r="H43" s="50"/>
    </row>
    <row r="44" spans="1:14" ht="26.25" customHeight="1" x14ac:dyDescent="0.4">
      <c r="A44" s="78" t="s">
        <v>74</v>
      </c>
      <c r="B44" s="79">
        <v>1</v>
      </c>
      <c r="C44" s="105" t="s">
        <v>75</v>
      </c>
      <c r="D44" s="106">
        <f>D43*$B$34</f>
        <v>13.01</v>
      </c>
      <c r="E44" s="107"/>
      <c r="F44" s="106">
        <f>F43*$B$34</f>
        <v>17.399999999999999</v>
      </c>
      <c r="H44" s="50"/>
    </row>
    <row r="45" spans="1:14" ht="19.5" customHeight="1" thickBot="1" x14ac:dyDescent="0.35">
      <c r="A45" s="78" t="s">
        <v>76</v>
      </c>
      <c r="B45" s="90">
        <f>(B44/B43)*(B42/B41)*(B40/B39)*(B38/B37)*B36</f>
        <v>125</v>
      </c>
      <c r="C45" s="105" t="s">
        <v>77</v>
      </c>
      <c r="D45" s="108">
        <f>D44*$B$30/100</f>
        <v>12.853879999999998</v>
      </c>
      <c r="E45" s="109"/>
      <c r="F45" s="108">
        <f>F44*$B$30/100</f>
        <v>17.191199999999998</v>
      </c>
      <c r="H45" s="50"/>
    </row>
    <row r="46" spans="1:14" ht="19.5" customHeight="1" thickBot="1" x14ac:dyDescent="0.35">
      <c r="A46" s="221" t="s">
        <v>78</v>
      </c>
      <c r="B46" s="225"/>
      <c r="C46" s="105" t="s">
        <v>79</v>
      </c>
      <c r="D46" s="110">
        <f>D45/$B$45</f>
        <v>0.10283103999999998</v>
      </c>
      <c r="E46" s="111"/>
      <c r="F46" s="112">
        <f>F45/$B$45</f>
        <v>0.13752959999999997</v>
      </c>
      <c r="H46" s="50"/>
    </row>
    <row r="47" spans="1:14" ht="27" customHeight="1" thickBot="1" x14ac:dyDescent="0.45">
      <c r="A47" s="223"/>
      <c r="B47" s="226"/>
      <c r="C47" s="113" t="s">
        <v>80</v>
      </c>
      <c r="D47" s="114">
        <v>0.12</v>
      </c>
      <c r="E47" s="115"/>
      <c r="F47" s="111"/>
      <c r="H47" s="50"/>
    </row>
    <row r="48" spans="1:14" ht="18.75" x14ac:dyDescent="0.3">
      <c r="C48" s="116" t="s">
        <v>81</v>
      </c>
      <c r="D48" s="108">
        <f>D47*$B$45</f>
        <v>15</v>
      </c>
      <c r="F48" s="117"/>
      <c r="H48" s="50"/>
    </row>
    <row r="49" spans="1:12" ht="19.5" customHeight="1" thickBot="1" x14ac:dyDescent="0.35">
      <c r="C49" s="118" t="s">
        <v>82</v>
      </c>
      <c r="D49" s="119">
        <f>D48/B34</f>
        <v>15</v>
      </c>
      <c r="F49" s="117"/>
      <c r="H49" s="50"/>
    </row>
    <row r="50" spans="1:12" ht="18.75" x14ac:dyDescent="0.3">
      <c r="C50" s="76" t="s">
        <v>83</v>
      </c>
      <c r="D50" s="120">
        <f>AVERAGE(E38:E41,G38:G41)</f>
        <v>16455060.276938075</v>
      </c>
      <c r="F50" s="121"/>
      <c r="H50" s="50"/>
    </row>
    <row r="51" spans="1:12" ht="18.75" x14ac:dyDescent="0.3">
      <c r="C51" s="78" t="s">
        <v>84</v>
      </c>
      <c r="D51" s="122">
        <f>STDEV(E38:E41,G38:G41)/D50</f>
        <v>1.22498568578114E-2</v>
      </c>
      <c r="F51" s="121"/>
      <c r="H51" s="50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2" t="s">
        <v>86</v>
      </c>
      <c r="B55" s="127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127" t="s">
        <v>87</v>
      </c>
      <c r="B56" s="128">
        <v>300</v>
      </c>
      <c r="C56" s="52" t="str">
        <f>B20</f>
        <v>Tenofovir Disoproxil Fumarate</v>
      </c>
      <c r="H56" s="107"/>
    </row>
    <row r="57" spans="1:12" ht="18.75" x14ac:dyDescent="0.3">
      <c r="A57" s="127" t="s">
        <v>88</v>
      </c>
      <c r="B57" s="129">
        <f>Efavirenz!B57</f>
        <v>1764.4224999999999</v>
      </c>
      <c r="H57" s="107"/>
    </row>
    <row r="58" spans="1:12" ht="19.5" customHeight="1" thickBot="1" x14ac:dyDescent="0.35">
      <c r="H58" s="107"/>
    </row>
    <row r="59" spans="1:12" s="49" customFormat="1" ht="27" customHeight="1" thickBot="1" x14ac:dyDescent="0.45">
      <c r="A59" s="76" t="s">
        <v>89</v>
      </c>
      <c r="B59" s="77">
        <v>100</v>
      </c>
      <c r="C59" s="52"/>
      <c r="D59" s="130" t="s">
        <v>90</v>
      </c>
      <c r="E59" s="131" t="s">
        <v>62</v>
      </c>
      <c r="F59" s="131" t="s">
        <v>63</v>
      </c>
      <c r="G59" s="131" t="s">
        <v>91</v>
      </c>
      <c r="H59" s="80" t="s">
        <v>92</v>
      </c>
      <c r="L59" s="66"/>
    </row>
    <row r="60" spans="1:12" s="49" customFormat="1" ht="26.25" customHeight="1" x14ac:dyDescent="0.4">
      <c r="A60" s="78" t="s">
        <v>93</v>
      </c>
      <c r="B60" s="79">
        <v>5</v>
      </c>
      <c r="C60" s="240" t="s">
        <v>94</v>
      </c>
      <c r="D60" s="243">
        <f>Efavirenz!D60</f>
        <v>1815.6</v>
      </c>
      <c r="E60" s="132">
        <v>1</v>
      </c>
      <c r="F60" s="133">
        <v>22104791</v>
      </c>
      <c r="G60" s="134">
        <f>IF(ISBLANK(F60),"-",(F60/$D$50*$D$47*$B$68)*($B$57/$D$60))</f>
        <v>313.31456941337916</v>
      </c>
      <c r="H60" s="135">
        <f t="shared" ref="H60:H71" si="0">IF(ISBLANK(F60),"-",(G60/$B$56)*100)</f>
        <v>104.43818980445971</v>
      </c>
      <c r="L60" s="66"/>
    </row>
    <row r="61" spans="1:12" s="49" customFormat="1" ht="26.25" customHeight="1" x14ac:dyDescent="0.4">
      <c r="A61" s="78" t="s">
        <v>95</v>
      </c>
      <c r="B61" s="79">
        <v>100</v>
      </c>
      <c r="C61" s="241"/>
      <c r="D61" s="244"/>
      <c r="E61" s="136">
        <v>2</v>
      </c>
      <c r="F61" s="91">
        <v>22177010</v>
      </c>
      <c r="G61" s="137">
        <f>IF(ISBLANK(F61),"-",(F61/$D$50*$D$47*$B$68)*($B$57/$D$60))</f>
        <v>314.33820564176352</v>
      </c>
      <c r="H61" s="138">
        <f t="shared" si="0"/>
        <v>104.77940188058783</v>
      </c>
      <c r="L61" s="66"/>
    </row>
    <row r="62" spans="1:12" s="49" customFormat="1" ht="26.25" customHeight="1" x14ac:dyDescent="0.4">
      <c r="A62" s="78" t="s">
        <v>96</v>
      </c>
      <c r="B62" s="79">
        <v>1</v>
      </c>
      <c r="C62" s="241"/>
      <c r="D62" s="244"/>
      <c r="E62" s="136">
        <v>3</v>
      </c>
      <c r="F62" s="139">
        <v>21717691</v>
      </c>
      <c r="G62" s="137">
        <f>IF(ISBLANK(F62),"-",(F62/$D$50*$D$47*$B$68)*($B$57/$D$60))</f>
        <v>307.82779191704731</v>
      </c>
      <c r="H62" s="138">
        <f t="shared" si="0"/>
        <v>102.60926397234911</v>
      </c>
      <c r="L62" s="66"/>
    </row>
    <row r="63" spans="1:12" ht="27" customHeight="1" thickBot="1" x14ac:dyDescent="0.45">
      <c r="A63" s="78" t="s">
        <v>97</v>
      </c>
      <c r="B63" s="79">
        <v>1</v>
      </c>
      <c r="C63" s="242"/>
      <c r="D63" s="245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240" t="s">
        <v>99</v>
      </c>
      <c r="D64" s="243">
        <f>Efavirenz!D64</f>
        <v>1773.92</v>
      </c>
      <c r="E64" s="132">
        <v>1</v>
      </c>
      <c r="F64" s="133">
        <v>20675791</v>
      </c>
      <c r="G64" s="134">
        <f>IF(ISBLANK(F64),"-",(F64/$D$50*$D$47*$B$68)*($B$57/$D$64))</f>
        <v>299.94557186978864</v>
      </c>
      <c r="H64" s="135">
        <f t="shared" si="0"/>
        <v>99.981857289929536</v>
      </c>
    </row>
    <row r="65" spans="1:8" ht="26.25" customHeight="1" x14ac:dyDescent="0.4">
      <c r="A65" s="78" t="s">
        <v>100</v>
      </c>
      <c r="B65" s="79">
        <v>1</v>
      </c>
      <c r="C65" s="241"/>
      <c r="D65" s="244"/>
      <c r="E65" s="136">
        <v>2</v>
      </c>
      <c r="F65" s="91"/>
      <c r="G65" s="137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8" t="s">
        <v>101</v>
      </c>
      <c r="B66" s="79">
        <v>1</v>
      </c>
      <c r="C66" s="241"/>
      <c r="D66" s="244"/>
      <c r="E66" s="136">
        <v>3</v>
      </c>
      <c r="F66" s="91"/>
      <c r="G66" s="137" t="str">
        <f>IF(ISBLANK(F66),"-",(F66/$D$50*$D$47*$B$68)*($B$57/$D$64))</f>
        <v>-</v>
      </c>
      <c r="H66" s="138" t="str">
        <f t="shared" si="0"/>
        <v>-</v>
      </c>
    </row>
    <row r="67" spans="1:8" ht="27" customHeight="1" thickBot="1" x14ac:dyDescent="0.45">
      <c r="A67" s="78" t="s">
        <v>102</v>
      </c>
      <c r="B67" s="79">
        <v>1</v>
      </c>
      <c r="C67" s="242"/>
      <c r="D67" s="245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8" t="s">
        <v>103</v>
      </c>
      <c r="B68" s="144">
        <f>(B67/B66)*(B65/B64)*(B63/B62)*(B61/B60)*B59</f>
        <v>2000</v>
      </c>
      <c r="C68" s="240" t="s">
        <v>104</v>
      </c>
      <c r="D68" s="243">
        <f>Efavirenz!D68</f>
        <v>1783.82</v>
      </c>
      <c r="E68" s="132">
        <v>1</v>
      </c>
      <c r="F68" s="133">
        <v>21241063</v>
      </c>
      <c r="G68" s="134">
        <f>IF(ISBLANK(F68),"-",(F68/$D$50*$D$47*$B$68)*($B$57/$D$68))</f>
        <v>306.43584823815416</v>
      </c>
      <c r="H68" s="138">
        <f t="shared" si="0"/>
        <v>102.14528274605139</v>
      </c>
    </row>
    <row r="69" spans="1:8" ht="27" customHeight="1" thickBot="1" x14ac:dyDescent="0.45">
      <c r="A69" s="123" t="s">
        <v>105</v>
      </c>
      <c r="B69" s="145">
        <f>(D47*B68)/B56*B57</f>
        <v>1411.538</v>
      </c>
      <c r="C69" s="241"/>
      <c r="D69" s="244"/>
      <c r="E69" s="136">
        <v>2</v>
      </c>
      <c r="F69" s="91">
        <v>20791165</v>
      </c>
      <c r="G69" s="137">
        <f>IF(ISBLANK(F69),"-",(F69/$D$50*$D$47*$B$68)*($B$57/$D$68))</f>
        <v>299.94535973244007</v>
      </c>
      <c r="H69" s="138">
        <f t="shared" si="0"/>
        <v>99.981786577480023</v>
      </c>
    </row>
    <row r="70" spans="1:8" ht="26.25" customHeight="1" x14ac:dyDescent="0.4">
      <c r="A70" s="247" t="s">
        <v>78</v>
      </c>
      <c r="B70" s="248"/>
      <c r="C70" s="241"/>
      <c r="D70" s="244"/>
      <c r="E70" s="136">
        <v>3</v>
      </c>
      <c r="F70" s="91">
        <v>21526524</v>
      </c>
      <c r="G70" s="137">
        <f>IF(ISBLANK(F70),"-",(F70/$D$50*$D$47*$B$68)*($B$57/$D$68))</f>
        <v>310.55407356773912</v>
      </c>
      <c r="H70" s="138">
        <f t="shared" si="0"/>
        <v>103.51802452257969</v>
      </c>
    </row>
    <row r="71" spans="1:8" ht="27" customHeight="1" thickBot="1" x14ac:dyDescent="0.45">
      <c r="A71" s="249"/>
      <c r="B71" s="250"/>
      <c r="C71" s="246"/>
      <c r="D71" s="245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71</v>
      </c>
      <c r="G72" s="147">
        <f>AVERAGE(G60:G71)</f>
        <v>307.4802029114731</v>
      </c>
      <c r="H72" s="148">
        <f>AVERAGE(H60:H71)</f>
        <v>102.49340097049104</v>
      </c>
    </row>
    <row r="73" spans="1:8" ht="26.25" customHeight="1" x14ac:dyDescent="0.4">
      <c r="C73" s="107"/>
      <c r="D73" s="107"/>
      <c r="E73" s="107"/>
      <c r="F73" s="149" t="s">
        <v>84</v>
      </c>
      <c r="G73" s="150">
        <f>STDEV(G60:G71)/G72</f>
        <v>1.9022915677682724E-2</v>
      </c>
      <c r="H73" s="150">
        <f>STDEV(H60:H71)/H72</f>
        <v>1.9022915677682686E-2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7</v>
      </c>
      <c r="H74" s="152">
        <f>COUNT(H60:H71)</f>
        <v>7</v>
      </c>
    </row>
    <row r="76" spans="1:8" ht="26.25" customHeight="1" x14ac:dyDescent="0.4">
      <c r="A76" s="62" t="s">
        <v>106</v>
      </c>
      <c r="B76" s="63" t="s">
        <v>107</v>
      </c>
      <c r="C76" s="229" t="str">
        <f>B26</f>
        <v>Tenofovir DF</v>
      </c>
      <c r="D76" s="229"/>
      <c r="E76" s="52" t="s">
        <v>108</v>
      </c>
      <c r="F76" s="52"/>
      <c r="G76" s="153">
        <f>H72</f>
        <v>102.49340097049104</v>
      </c>
      <c r="H76" s="67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31" t="str">
        <f>B26</f>
        <v>Tenofovir DF</v>
      </c>
      <c r="C79" s="231"/>
    </row>
    <row r="80" spans="1:8" ht="26.25" customHeight="1" x14ac:dyDescent="0.4">
      <c r="A80" s="63" t="s">
        <v>48</v>
      </c>
      <c r="B80" s="231" t="str">
        <f>B27</f>
        <v>T11 8</v>
      </c>
      <c r="C80" s="231"/>
    </row>
    <row r="81" spans="1:12" ht="27" customHeight="1" thickBot="1" x14ac:dyDescent="0.45">
      <c r="A81" s="63" t="s">
        <v>6</v>
      </c>
      <c r="B81" s="64">
        <f>B28</f>
        <v>98.8</v>
      </c>
    </row>
    <row r="82" spans="1:12" s="49" customFormat="1" ht="27" customHeight="1" thickBot="1" x14ac:dyDescent="0.45">
      <c r="A82" s="63" t="s">
        <v>49</v>
      </c>
      <c r="B82" s="65">
        <v>0</v>
      </c>
      <c r="C82" s="232" t="s">
        <v>50</v>
      </c>
      <c r="D82" s="233"/>
      <c r="E82" s="233"/>
      <c r="F82" s="233"/>
      <c r="G82" s="234"/>
      <c r="I82" s="66"/>
      <c r="J82" s="66"/>
      <c r="K82" s="66"/>
      <c r="L82" s="66"/>
    </row>
    <row r="83" spans="1:12" s="49" customFormat="1" ht="19.5" customHeight="1" thickBot="1" x14ac:dyDescent="0.35">
      <c r="A83" s="63" t="s">
        <v>51</v>
      </c>
      <c r="B83" s="67">
        <f>B81-B82</f>
        <v>98.8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9" customFormat="1" ht="27" customHeight="1" thickBot="1" x14ac:dyDescent="0.45">
      <c r="A84" s="63" t="s">
        <v>52</v>
      </c>
      <c r="B84" s="70">
        <v>1</v>
      </c>
      <c r="C84" s="235" t="s">
        <v>111</v>
      </c>
      <c r="D84" s="236"/>
      <c r="E84" s="236"/>
      <c r="F84" s="236"/>
      <c r="G84" s="236"/>
      <c r="H84" s="237"/>
      <c r="I84" s="66"/>
      <c r="J84" s="66"/>
      <c r="K84" s="66"/>
      <c r="L84" s="66"/>
    </row>
    <row r="85" spans="1:12" s="49" customFormat="1" ht="27" customHeight="1" thickBot="1" x14ac:dyDescent="0.45">
      <c r="A85" s="63" t="s">
        <v>54</v>
      </c>
      <c r="B85" s="70">
        <v>1</v>
      </c>
      <c r="C85" s="235" t="s">
        <v>112</v>
      </c>
      <c r="D85" s="236"/>
      <c r="E85" s="236"/>
      <c r="F85" s="236"/>
      <c r="G85" s="236"/>
      <c r="H85" s="237"/>
      <c r="I85" s="66"/>
      <c r="J85" s="66"/>
      <c r="K85" s="66"/>
      <c r="L85" s="66"/>
    </row>
    <row r="86" spans="1:12" s="49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9" customFormat="1" ht="18.75" x14ac:dyDescent="0.3">
      <c r="A87" s="63" t="s">
        <v>56</v>
      </c>
      <c r="B87" s="75">
        <f>B84/B85</f>
        <v>1</v>
      </c>
      <c r="C87" s="52" t="s">
        <v>57</v>
      </c>
      <c r="D87" s="52"/>
      <c r="E87" s="52"/>
      <c r="F87" s="52"/>
      <c r="G87" s="52"/>
      <c r="I87" s="66"/>
      <c r="J87" s="66"/>
      <c r="K87" s="66"/>
      <c r="L87" s="66"/>
    </row>
    <row r="88" spans="1:12" ht="19.5" customHeight="1" thickBot="1" x14ac:dyDescent="0.35">
      <c r="A88" s="61"/>
      <c r="B88" s="61"/>
    </row>
    <row r="89" spans="1:12" ht="27" customHeight="1" thickBot="1" x14ac:dyDescent="0.45">
      <c r="A89" s="76" t="s">
        <v>58</v>
      </c>
      <c r="B89" s="77">
        <v>50</v>
      </c>
      <c r="D89" s="154" t="s">
        <v>59</v>
      </c>
      <c r="E89" s="155"/>
      <c r="F89" s="238" t="s">
        <v>60</v>
      </c>
      <c r="G89" s="239"/>
    </row>
    <row r="90" spans="1:12" ht="27" customHeight="1" thickBot="1" x14ac:dyDescent="0.45">
      <c r="A90" s="78" t="s">
        <v>61</v>
      </c>
      <c r="B90" s="79">
        <v>1</v>
      </c>
      <c r="C90" s="156" t="s">
        <v>62</v>
      </c>
      <c r="D90" s="81" t="s">
        <v>63</v>
      </c>
      <c r="E90" s="82" t="s">
        <v>64</v>
      </c>
      <c r="F90" s="81" t="s">
        <v>63</v>
      </c>
      <c r="G90" s="157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1</v>
      </c>
      <c r="C91" s="158">
        <v>1</v>
      </c>
      <c r="D91" s="358">
        <v>60296334</v>
      </c>
      <c r="E91" s="87">
        <f>IF(ISBLANK(D91),"-",$D$101/$D$98*D91)</f>
        <v>70309537.024944499</v>
      </c>
      <c r="F91" s="358">
        <v>73711348</v>
      </c>
      <c r="G91" s="88">
        <f>IF(ISBLANK(F91),"-",$D$101/$F$98*F91)</f>
        <v>70162972.599088758</v>
      </c>
      <c r="I91" s="89"/>
    </row>
    <row r="92" spans="1:12" ht="26.25" customHeight="1" x14ac:dyDescent="0.4">
      <c r="A92" s="78" t="s">
        <v>67</v>
      </c>
      <c r="B92" s="79">
        <v>1</v>
      </c>
      <c r="C92" s="107">
        <v>2</v>
      </c>
      <c r="D92" s="359">
        <v>60270590</v>
      </c>
      <c r="E92" s="92">
        <f>IF(ISBLANK(D92),"-",$D$101/$D$98*D92)</f>
        <v>70279517.808168069</v>
      </c>
      <c r="F92" s="359">
        <v>73867049</v>
      </c>
      <c r="G92" s="93">
        <f>IF(ISBLANK(F92),"-",$D$101/$F$98*F92)</f>
        <v>70311178.340715557</v>
      </c>
      <c r="I92" s="220">
        <f>ABS((F96/D96*D95)-F95)/D95</f>
        <v>1.3211910157913237E-3</v>
      </c>
    </row>
    <row r="93" spans="1:12" ht="26.25" customHeight="1" x14ac:dyDescent="0.4">
      <c r="A93" s="78" t="s">
        <v>68</v>
      </c>
      <c r="B93" s="79">
        <v>1</v>
      </c>
      <c r="C93" s="107">
        <v>3</v>
      </c>
      <c r="D93" s="359">
        <v>60408517</v>
      </c>
      <c r="E93" s="92">
        <f>IF(ISBLANK(D93),"-",$D$101/$D$98*D93)</f>
        <v>70440349.866601989</v>
      </c>
      <c r="F93" s="359">
        <v>73884365</v>
      </c>
      <c r="G93" s="93">
        <f>IF(ISBLANK(F93),"-",$D$101/$F$98*F93)</f>
        <v>70327660.769357696</v>
      </c>
      <c r="I93" s="220"/>
    </row>
    <row r="94" spans="1:12" ht="27" customHeight="1" thickBot="1" x14ac:dyDescent="0.45">
      <c r="A94" s="78" t="s">
        <v>69</v>
      </c>
      <c r="B94" s="79">
        <v>1</v>
      </c>
      <c r="C94" s="159">
        <v>4</v>
      </c>
      <c r="D94" s="360"/>
      <c r="E94" s="96" t="str">
        <f>IF(ISBLANK(D94),"-",$D$101/$D$98*D94)</f>
        <v>-</v>
      </c>
      <c r="F94" s="361"/>
      <c r="G94" s="97" t="str">
        <f>IF(ISBLANK(F94),"-",$D$101/$F$98*F94)</f>
        <v>-</v>
      </c>
      <c r="I94" s="98"/>
    </row>
    <row r="95" spans="1:12" ht="27" customHeight="1" thickBot="1" x14ac:dyDescent="0.45">
      <c r="A95" s="78" t="s">
        <v>70</v>
      </c>
      <c r="B95" s="79">
        <v>1</v>
      </c>
      <c r="C95" s="63" t="s">
        <v>71</v>
      </c>
      <c r="D95" s="160">
        <f>AVERAGE(D91:D94)</f>
        <v>60325147</v>
      </c>
      <c r="E95" s="101">
        <f>AVERAGE(E91:E94)</f>
        <v>70343134.899904847</v>
      </c>
      <c r="F95" s="161">
        <f>AVERAGE(F91:F94)</f>
        <v>73820920.666666672</v>
      </c>
      <c r="G95" s="162">
        <f>AVERAGE(G91:G94)</f>
        <v>70267270.569720671</v>
      </c>
    </row>
    <row r="96" spans="1:12" ht="26.25" customHeight="1" x14ac:dyDescent="0.4">
      <c r="A96" s="78" t="s">
        <v>72</v>
      </c>
      <c r="B96" s="64">
        <v>1</v>
      </c>
      <c r="C96" s="163" t="s">
        <v>113</v>
      </c>
      <c r="D96" s="164">
        <v>13.02</v>
      </c>
      <c r="E96" s="52"/>
      <c r="F96" s="104">
        <v>15.95</v>
      </c>
    </row>
    <row r="97" spans="1:10" ht="26.25" customHeight="1" x14ac:dyDescent="0.4">
      <c r="A97" s="78" t="s">
        <v>74</v>
      </c>
      <c r="B97" s="64">
        <v>1</v>
      </c>
      <c r="C97" s="165" t="s">
        <v>114</v>
      </c>
      <c r="D97" s="166">
        <f>D96*$B$87</f>
        <v>13.02</v>
      </c>
      <c r="E97" s="107"/>
      <c r="F97" s="106">
        <f>F96*$B$87</f>
        <v>15.95</v>
      </c>
    </row>
    <row r="98" spans="1:10" ht="19.5" customHeight="1" thickBot="1" x14ac:dyDescent="0.35">
      <c r="A98" s="78" t="s">
        <v>76</v>
      </c>
      <c r="B98" s="107">
        <f>(B97/B96)*(B95/B94)*(B93/B92)*(B91/B90)*B89</f>
        <v>50</v>
      </c>
      <c r="C98" s="165" t="s">
        <v>115</v>
      </c>
      <c r="D98" s="167">
        <f>D97*$B$83/100</f>
        <v>12.863759999999999</v>
      </c>
      <c r="E98" s="109"/>
      <c r="F98" s="108">
        <f>F97*$B$83/100</f>
        <v>15.758599999999999</v>
      </c>
    </row>
    <row r="99" spans="1:10" ht="19.5" customHeight="1" thickBot="1" x14ac:dyDescent="0.35">
      <c r="A99" s="221" t="s">
        <v>78</v>
      </c>
      <c r="B99" s="222"/>
      <c r="C99" s="165" t="s">
        <v>116</v>
      </c>
      <c r="D99" s="168">
        <f>D98/$B$98</f>
        <v>0.25727519999999998</v>
      </c>
      <c r="E99" s="109"/>
      <c r="F99" s="112">
        <f>F98/$B$98</f>
        <v>0.31517200000000001</v>
      </c>
      <c r="H99" s="50"/>
    </row>
    <row r="100" spans="1:10" ht="19.5" customHeight="1" thickBot="1" x14ac:dyDescent="0.35">
      <c r="A100" s="223"/>
      <c r="B100" s="224"/>
      <c r="C100" s="165" t="s">
        <v>80</v>
      </c>
      <c r="D100" s="169">
        <f>$B$56/$B$116</f>
        <v>0.3</v>
      </c>
      <c r="F100" s="117"/>
      <c r="G100" s="170"/>
      <c r="H100" s="50"/>
    </row>
    <row r="101" spans="1:10" ht="18.75" x14ac:dyDescent="0.3">
      <c r="C101" s="165" t="s">
        <v>81</v>
      </c>
      <c r="D101" s="166">
        <f>D100*$B$98</f>
        <v>15</v>
      </c>
      <c r="F101" s="117"/>
      <c r="H101" s="50"/>
    </row>
    <row r="102" spans="1:10" ht="19.5" customHeight="1" thickBot="1" x14ac:dyDescent="0.35">
      <c r="C102" s="171" t="s">
        <v>82</v>
      </c>
      <c r="D102" s="172">
        <f>D101/B34</f>
        <v>15</v>
      </c>
      <c r="F102" s="121"/>
      <c r="H102" s="50"/>
      <c r="J102" s="173"/>
    </row>
    <row r="103" spans="1:10" ht="18.75" x14ac:dyDescent="0.3">
      <c r="C103" s="174" t="s">
        <v>117</v>
      </c>
      <c r="D103" s="175">
        <f>AVERAGE(E91:E94,G91:G94)</f>
        <v>70305202.734812751</v>
      </c>
      <c r="F103" s="121"/>
      <c r="G103" s="170"/>
      <c r="H103" s="50"/>
      <c r="J103" s="176"/>
    </row>
    <row r="104" spans="1:10" ht="18.75" x14ac:dyDescent="0.3">
      <c r="C104" s="149" t="s">
        <v>84</v>
      </c>
      <c r="D104" s="177">
        <f>STDEV(E91:E94,G91:G94)/D103</f>
        <v>1.267629718709891E-3</v>
      </c>
      <c r="F104" s="121"/>
      <c r="H104" s="50"/>
      <c r="J104" s="176"/>
    </row>
    <row r="105" spans="1:10" ht="19.5" customHeight="1" thickBot="1" x14ac:dyDescent="0.35">
      <c r="C105" s="151" t="s">
        <v>20</v>
      </c>
      <c r="D105" s="178">
        <f>COUNT(E91:E94,G91:G94)</f>
        <v>6</v>
      </c>
      <c r="F105" s="121"/>
      <c r="H105" s="50"/>
      <c r="J105" s="176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6" t="s">
        <v>118</v>
      </c>
      <c r="B107" s="77">
        <v>1000</v>
      </c>
      <c r="C107" s="131" t="s">
        <v>119</v>
      </c>
      <c r="D107" s="131" t="s">
        <v>63</v>
      </c>
      <c r="E107" s="131" t="s">
        <v>120</v>
      </c>
      <c r="F107" s="179" t="s">
        <v>121</v>
      </c>
    </row>
    <row r="108" spans="1:10" ht="26.25" customHeight="1" x14ac:dyDescent="0.4">
      <c r="A108" s="78" t="s">
        <v>122</v>
      </c>
      <c r="B108" s="79">
        <v>1</v>
      </c>
      <c r="C108" s="132">
        <v>1</v>
      </c>
      <c r="D108" s="180">
        <v>70702133</v>
      </c>
      <c r="E108" s="181">
        <f t="shared" ref="E108:E113" si="1">IF(ISBLANK(D108),"-",D108/$D$103*$D$100*$B$116)</f>
        <v>301.69374491394802</v>
      </c>
      <c r="F108" s="182">
        <f t="shared" ref="F108:F113" si="2">IF(ISBLANK(D108), "-", (E108/$B$56)*100)</f>
        <v>100.56458163798267</v>
      </c>
    </row>
    <row r="109" spans="1:10" ht="26.25" customHeight="1" x14ac:dyDescent="0.4">
      <c r="A109" s="78" t="s">
        <v>95</v>
      </c>
      <c r="B109" s="79">
        <v>1</v>
      </c>
      <c r="C109" s="136">
        <v>2</v>
      </c>
      <c r="D109" s="183">
        <v>71070812</v>
      </c>
      <c r="E109" s="184">
        <f t="shared" si="1"/>
        <v>303.2669385852214</v>
      </c>
      <c r="F109" s="185">
        <f t="shared" si="2"/>
        <v>101.08897952840714</v>
      </c>
    </row>
    <row r="110" spans="1:10" ht="26.25" customHeight="1" x14ac:dyDescent="0.4">
      <c r="A110" s="78" t="s">
        <v>96</v>
      </c>
      <c r="B110" s="79">
        <v>1</v>
      </c>
      <c r="C110" s="136">
        <v>3</v>
      </c>
      <c r="D110" s="183">
        <v>71197102</v>
      </c>
      <c r="E110" s="184">
        <f t="shared" si="1"/>
        <v>303.80583184669041</v>
      </c>
      <c r="F110" s="185">
        <f t="shared" si="2"/>
        <v>101.26861061556347</v>
      </c>
    </row>
    <row r="111" spans="1:10" ht="26.25" customHeight="1" x14ac:dyDescent="0.4">
      <c r="A111" s="78" t="s">
        <v>97</v>
      </c>
      <c r="B111" s="79">
        <v>1</v>
      </c>
      <c r="C111" s="136">
        <v>4</v>
      </c>
      <c r="D111" s="183">
        <v>71068614</v>
      </c>
      <c r="E111" s="184">
        <f t="shared" si="1"/>
        <v>303.25755947849319</v>
      </c>
      <c r="F111" s="185">
        <f t="shared" si="2"/>
        <v>101.08585315949774</v>
      </c>
    </row>
    <row r="112" spans="1:10" ht="26.25" customHeight="1" x14ac:dyDescent="0.4">
      <c r="A112" s="78" t="s">
        <v>98</v>
      </c>
      <c r="B112" s="79">
        <v>1</v>
      </c>
      <c r="C112" s="136">
        <v>5</v>
      </c>
      <c r="D112" s="183">
        <v>70862878</v>
      </c>
      <c r="E112" s="184">
        <f t="shared" si="1"/>
        <v>302.37966143397995</v>
      </c>
      <c r="F112" s="185">
        <f t="shared" si="2"/>
        <v>100.7932204779933</v>
      </c>
    </row>
    <row r="113" spans="1:10" ht="27" customHeight="1" thickBot="1" x14ac:dyDescent="0.45">
      <c r="A113" s="78" t="s">
        <v>100</v>
      </c>
      <c r="B113" s="79">
        <v>1</v>
      </c>
      <c r="C113" s="140">
        <v>6</v>
      </c>
      <c r="D113" s="186">
        <v>70976658</v>
      </c>
      <c r="E113" s="187">
        <f t="shared" si="1"/>
        <v>302.86517315533507</v>
      </c>
      <c r="F113" s="188">
        <f t="shared" si="2"/>
        <v>100.95505771844502</v>
      </c>
    </row>
    <row r="114" spans="1:10" ht="27" customHeight="1" thickBot="1" x14ac:dyDescent="0.45">
      <c r="A114" s="78" t="s">
        <v>101</v>
      </c>
      <c r="B114" s="79">
        <v>1</v>
      </c>
      <c r="C114" s="189"/>
      <c r="D114" s="107"/>
      <c r="E114" s="52"/>
      <c r="F114" s="185"/>
    </row>
    <row r="115" spans="1:10" ht="26.25" customHeight="1" x14ac:dyDescent="0.4">
      <c r="A115" s="78" t="s">
        <v>102</v>
      </c>
      <c r="B115" s="79">
        <v>1</v>
      </c>
      <c r="C115" s="189"/>
      <c r="D115" s="190" t="s">
        <v>71</v>
      </c>
      <c r="E115" s="191">
        <f>AVERAGE(E108:E113)</f>
        <v>302.87815156894465</v>
      </c>
      <c r="F115" s="192">
        <f>AVERAGE(F108:F113)</f>
        <v>100.9593838563149</v>
      </c>
    </row>
    <row r="116" spans="1:10" ht="27" customHeight="1" thickBot="1" x14ac:dyDescent="0.45">
      <c r="A116" s="78" t="s">
        <v>103</v>
      </c>
      <c r="B116" s="90">
        <f>(B115/B114)*(B113/B112)*(B111/B110)*(B109/B108)*B107</f>
        <v>1000</v>
      </c>
      <c r="C116" s="193"/>
      <c r="D116" s="194" t="s">
        <v>84</v>
      </c>
      <c r="E116" s="150">
        <f>STDEV(E108:E113)/E115</f>
        <v>2.4738986425880865E-3</v>
      </c>
      <c r="F116" s="195">
        <f>STDEV(F108:F113)/F115</f>
        <v>2.4738986425881502E-3</v>
      </c>
      <c r="I116" s="52"/>
    </row>
    <row r="117" spans="1:10" ht="27" customHeight="1" thickBot="1" x14ac:dyDescent="0.45">
      <c r="A117" s="221" t="s">
        <v>78</v>
      </c>
      <c r="B117" s="225"/>
      <c r="C117" s="196"/>
      <c r="D117" s="151" t="s">
        <v>20</v>
      </c>
      <c r="E117" s="197">
        <f>COUNT(E108:E113)</f>
        <v>6</v>
      </c>
      <c r="F117" s="198">
        <f>COUNT(F108:F113)</f>
        <v>6</v>
      </c>
      <c r="I117" s="52"/>
      <c r="J117" s="176"/>
    </row>
    <row r="118" spans="1:10" ht="26.25" customHeight="1" thickBot="1" x14ac:dyDescent="0.35">
      <c r="A118" s="223"/>
      <c r="B118" s="226"/>
      <c r="C118" s="52"/>
      <c r="D118" s="199"/>
      <c r="E118" s="227" t="s">
        <v>123</v>
      </c>
      <c r="F118" s="228"/>
      <c r="G118" s="52"/>
      <c r="H118" s="52"/>
      <c r="I118" s="52"/>
    </row>
    <row r="119" spans="1:10" ht="25.5" customHeight="1" x14ac:dyDescent="0.4">
      <c r="A119" s="200"/>
      <c r="B119" s="74"/>
      <c r="C119" s="52"/>
      <c r="D119" s="194" t="s">
        <v>124</v>
      </c>
      <c r="E119" s="201">
        <f>MIN(E108:E113)</f>
        <v>301.69374491394802</v>
      </c>
      <c r="F119" s="202">
        <f>MIN(F108:F113)</f>
        <v>100.56458163798267</v>
      </c>
      <c r="G119" s="52"/>
      <c r="H119" s="52"/>
      <c r="I119" s="52"/>
    </row>
    <row r="120" spans="1:10" ht="24" customHeight="1" thickBot="1" x14ac:dyDescent="0.45">
      <c r="A120" s="200"/>
      <c r="B120" s="74"/>
      <c r="C120" s="52"/>
      <c r="D120" s="118" t="s">
        <v>125</v>
      </c>
      <c r="E120" s="203">
        <f>MAX(E108:E113)</f>
        <v>303.80583184669041</v>
      </c>
      <c r="F120" s="204">
        <f>MAX(F108:F113)</f>
        <v>101.26861061556347</v>
      </c>
      <c r="G120" s="52"/>
      <c r="H120" s="52"/>
      <c r="I120" s="52"/>
    </row>
    <row r="121" spans="1:10" ht="27" customHeight="1" x14ac:dyDescent="0.3">
      <c r="A121" s="200"/>
      <c r="B121" s="74"/>
      <c r="C121" s="52"/>
      <c r="D121" s="52"/>
      <c r="E121" s="52"/>
      <c r="F121" s="107"/>
      <c r="G121" s="52"/>
      <c r="H121" s="52"/>
      <c r="I121" s="52"/>
    </row>
    <row r="122" spans="1:10" ht="25.5" customHeight="1" x14ac:dyDescent="0.3">
      <c r="A122" s="200"/>
      <c r="B122" s="74"/>
      <c r="C122" s="52"/>
      <c r="D122" s="52"/>
      <c r="E122" s="52"/>
      <c r="F122" s="107"/>
      <c r="G122" s="52"/>
      <c r="H122" s="52"/>
      <c r="I122" s="52"/>
    </row>
    <row r="123" spans="1:10" ht="18.75" x14ac:dyDescent="0.3">
      <c r="A123" s="200"/>
      <c r="B123" s="74"/>
      <c r="C123" s="52"/>
      <c r="D123" s="52"/>
      <c r="E123" s="52"/>
      <c r="F123" s="107"/>
      <c r="G123" s="52"/>
      <c r="H123" s="52"/>
      <c r="I123" s="52"/>
    </row>
    <row r="124" spans="1:10" ht="45.75" customHeight="1" x14ac:dyDescent="0.65">
      <c r="A124" s="62" t="s">
        <v>106</v>
      </c>
      <c r="B124" s="63" t="s">
        <v>126</v>
      </c>
      <c r="C124" s="229" t="str">
        <f>B26</f>
        <v>Tenofovir DF</v>
      </c>
      <c r="D124" s="229"/>
      <c r="E124" s="52" t="s">
        <v>127</v>
      </c>
      <c r="F124" s="52"/>
      <c r="G124" s="205">
        <f>F115</f>
        <v>100.9593838563149</v>
      </c>
      <c r="H124" s="52"/>
      <c r="I124" s="52"/>
    </row>
    <row r="125" spans="1:10" ht="45.75" customHeight="1" x14ac:dyDescent="0.65">
      <c r="A125" s="62"/>
      <c r="B125" s="63" t="s">
        <v>128</v>
      </c>
      <c r="C125" s="63" t="s">
        <v>129</v>
      </c>
      <c r="D125" s="205">
        <f>MIN(F108:F113)</f>
        <v>100.56458163798267</v>
      </c>
      <c r="E125" s="63" t="s">
        <v>130</v>
      </c>
      <c r="F125" s="205">
        <f>MAX(F108:F113)</f>
        <v>101.26861061556347</v>
      </c>
      <c r="G125" s="153"/>
      <c r="H125" s="52"/>
      <c r="I125" s="52"/>
    </row>
    <row r="126" spans="1:10" ht="19.5" customHeight="1" thickBot="1" x14ac:dyDescent="0.35">
      <c r="A126" s="206"/>
      <c r="B126" s="206"/>
      <c r="C126" s="207"/>
      <c r="D126" s="207"/>
      <c r="E126" s="207"/>
      <c r="F126" s="207"/>
      <c r="G126" s="207"/>
      <c r="H126" s="207"/>
    </row>
    <row r="127" spans="1:10" ht="18.75" x14ac:dyDescent="0.3">
      <c r="B127" s="230" t="s">
        <v>26</v>
      </c>
      <c r="C127" s="230"/>
      <c r="E127" s="156" t="s">
        <v>27</v>
      </c>
      <c r="F127" s="208"/>
      <c r="G127" s="230" t="s">
        <v>28</v>
      </c>
      <c r="H127" s="230"/>
    </row>
    <row r="128" spans="1:10" ht="69.95" customHeight="1" x14ac:dyDescent="0.3">
      <c r="A128" s="62" t="s">
        <v>29</v>
      </c>
      <c r="B128" s="209"/>
      <c r="C128" s="209"/>
      <c r="E128" s="209"/>
      <c r="F128" s="52"/>
      <c r="G128" s="209"/>
      <c r="H128" s="209"/>
    </row>
    <row r="129" spans="1:9" ht="69.95" customHeight="1" x14ac:dyDescent="0.3">
      <c r="A129" s="62" t="s">
        <v>30</v>
      </c>
      <c r="B129" s="210"/>
      <c r="C129" s="210"/>
      <c r="E129" s="210"/>
      <c r="F129" s="52"/>
      <c r="G129" s="211"/>
      <c r="H129" s="211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52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52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52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52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52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52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52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52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52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30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1"/>
  </cols>
  <sheetData>
    <row r="1" spans="1:9" ht="18.75" customHeight="1" x14ac:dyDescent="0.25">
      <c r="A1" s="255" t="s">
        <v>45</v>
      </c>
      <c r="B1" s="255"/>
      <c r="C1" s="255"/>
      <c r="D1" s="255"/>
      <c r="E1" s="255"/>
      <c r="F1" s="255"/>
      <c r="G1" s="255"/>
      <c r="H1" s="255"/>
      <c r="I1" s="255"/>
    </row>
    <row r="2" spans="1:9" ht="18.75" customHeight="1" x14ac:dyDescent="0.25">
      <c r="A2" s="255"/>
      <c r="B2" s="255"/>
      <c r="C2" s="255"/>
      <c r="D2" s="255"/>
      <c r="E2" s="255"/>
      <c r="F2" s="255"/>
      <c r="G2" s="255"/>
      <c r="H2" s="255"/>
      <c r="I2" s="255"/>
    </row>
    <row r="3" spans="1:9" ht="18.75" customHeight="1" x14ac:dyDescent="0.25">
      <c r="A3" s="255"/>
      <c r="B3" s="255"/>
      <c r="C3" s="255"/>
      <c r="D3" s="255"/>
      <c r="E3" s="255"/>
      <c r="F3" s="255"/>
      <c r="G3" s="255"/>
      <c r="H3" s="255"/>
      <c r="I3" s="255"/>
    </row>
    <row r="4" spans="1:9" ht="18.75" customHeight="1" x14ac:dyDescent="0.25">
      <c r="A4" s="255"/>
      <c r="B4" s="255"/>
      <c r="C4" s="255"/>
      <c r="D4" s="255"/>
      <c r="E4" s="255"/>
      <c r="F4" s="255"/>
      <c r="G4" s="255"/>
      <c r="H4" s="255"/>
      <c r="I4" s="255"/>
    </row>
    <row r="5" spans="1:9" ht="18.75" customHeight="1" x14ac:dyDescent="0.25">
      <c r="A5" s="255"/>
      <c r="B5" s="255"/>
      <c r="C5" s="255"/>
      <c r="D5" s="255"/>
      <c r="E5" s="255"/>
      <c r="F5" s="255"/>
      <c r="G5" s="255"/>
      <c r="H5" s="255"/>
      <c r="I5" s="255"/>
    </row>
    <row r="6" spans="1:9" ht="18.75" customHeight="1" x14ac:dyDescent="0.25">
      <c r="A6" s="255"/>
      <c r="B6" s="255"/>
      <c r="C6" s="255"/>
      <c r="D6" s="255"/>
      <c r="E6" s="255"/>
      <c r="F6" s="255"/>
      <c r="G6" s="255"/>
      <c r="H6" s="255"/>
      <c r="I6" s="255"/>
    </row>
    <row r="7" spans="1:9" ht="18.75" customHeight="1" x14ac:dyDescent="0.25">
      <c r="A7" s="255"/>
      <c r="B7" s="255"/>
      <c r="C7" s="255"/>
      <c r="D7" s="255"/>
      <c r="E7" s="255"/>
      <c r="F7" s="255"/>
      <c r="G7" s="255"/>
      <c r="H7" s="255"/>
      <c r="I7" s="255"/>
    </row>
    <row r="8" spans="1:9" x14ac:dyDescent="0.25">
      <c r="A8" s="256" t="s">
        <v>46</v>
      </c>
      <c r="B8" s="256"/>
      <c r="C8" s="256"/>
      <c r="D8" s="256"/>
      <c r="E8" s="256"/>
      <c r="F8" s="256"/>
      <c r="G8" s="256"/>
      <c r="H8" s="256"/>
      <c r="I8" s="256"/>
    </row>
    <row r="9" spans="1:9" x14ac:dyDescent="0.25">
      <c r="A9" s="256"/>
      <c r="B9" s="256"/>
      <c r="C9" s="256"/>
      <c r="D9" s="256"/>
      <c r="E9" s="256"/>
      <c r="F9" s="256"/>
      <c r="G9" s="256"/>
      <c r="H9" s="256"/>
      <c r="I9" s="256"/>
    </row>
    <row r="10" spans="1:9" x14ac:dyDescent="0.25">
      <c r="A10" s="256"/>
      <c r="B10" s="256"/>
      <c r="C10" s="256"/>
      <c r="D10" s="256"/>
      <c r="E10" s="256"/>
      <c r="F10" s="256"/>
      <c r="G10" s="256"/>
      <c r="H10" s="256"/>
      <c r="I10" s="256"/>
    </row>
    <row r="11" spans="1:9" x14ac:dyDescent="0.25">
      <c r="A11" s="256"/>
      <c r="B11" s="256"/>
      <c r="C11" s="256"/>
      <c r="D11" s="256"/>
      <c r="E11" s="256"/>
      <c r="F11" s="256"/>
      <c r="G11" s="256"/>
      <c r="H11" s="256"/>
      <c r="I11" s="256"/>
    </row>
    <row r="12" spans="1:9" x14ac:dyDescent="0.25">
      <c r="A12" s="256"/>
      <c r="B12" s="256"/>
      <c r="C12" s="256"/>
      <c r="D12" s="256"/>
      <c r="E12" s="256"/>
      <c r="F12" s="256"/>
      <c r="G12" s="256"/>
      <c r="H12" s="256"/>
      <c r="I12" s="256"/>
    </row>
    <row r="13" spans="1:9" x14ac:dyDescent="0.25">
      <c r="A13" s="256"/>
      <c r="B13" s="256"/>
      <c r="C13" s="256"/>
      <c r="D13" s="256"/>
      <c r="E13" s="256"/>
      <c r="F13" s="256"/>
      <c r="G13" s="256"/>
      <c r="H13" s="256"/>
      <c r="I13" s="256"/>
    </row>
    <row r="14" spans="1:9" x14ac:dyDescent="0.25">
      <c r="A14" s="256"/>
      <c r="B14" s="256"/>
      <c r="C14" s="256"/>
      <c r="D14" s="256"/>
      <c r="E14" s="256"/>
      <c r="F14" s="256"/>
      <c r="G14" s="256"/>
      <c r="H14" s="256"/>
      <c r="I14" s="256"/>
    </row>
    <row r="15" spans="1:9" ht="19.5" customHeight="1" thickBot="1" x14ac:dyDescent="0.35">
      <c r="A15" s="52"/>
    </row>
    <row r="16" spans="1:9" ht="19.5" customHeight="1" thickBot="1" x14ac:dyDescent="0.35">
      <c r="A16" s="257" t="s">
        <v>31</v>
      </c>
      <c r="B16" s="258"/>
      <c r="C16" s="258"/>
      <c r="D16" s="258"/>
      <c r="E16" s="258"/>
      <c r="F16" s="258"/>
      <c r="G16" s="258"/>
      <c r="H16" s="259"/>
    </row>
    <row r="17" spans="1:14" ht="20.25" customHeight="1" x14ac:dyDescent="0.25">
      <c r="A17" s="260" t="s">
        <v>47</v>
      </c>
      <c r="B17" s="260"/>
      <c r="C17" s="260"/>
      <c r="D17" s="260"/>
      <c r="E17" s="260"/>
      <c r="F17" s="260"/>
      <c r="G17" s="260"/>
      <c r="H17" s="260"/>
    </row>
    <row r="18" spans="1:14" ht="26.25" customHeight="1" x14ac:dyDescent="0.4">
      <c r="A18" s="53" t="s">
        <v>33</v>
      </c>
      <c r="B18" s="253" t="e">
        <f>'TDF '!B18:C18</f>
        <v>#REF!</v>
      </c>
      <c r="C18" s="253"/>
      <c r="D18" s="54"/>
      <c r="E18" s="55"/>
      <c r="F18" s="56"/>
      <c r="G18" s="56"/>
      <c r="H18" s="56"/>
    </row>
    <row r="19" spans="1:14" ht="26.25" customHeight="1" x14ac:dyDescent="0.4">
      <c r="A19" s="53" t="s">
        <v>34</v>
      </c>
      <c r="B19" s="57" t="s">
        <v>7</v>
      </c>
      <c r="C19" s="56">
        <v>1</v>
      </c>
      <c r="D19" s="56"/>
      <c r="E19" s="56"/>
      <c r="F19" s="56"/>
      <c r="G19" s="56"/>
      <c r="H19" s="56"/>
    </row>
    <row r="20" spans="1:14" ht="26.25" customHeight="1" x14ac:dyDescent="0.4">
      <c r="A20" s="53" t="s">
        <v>35</v>
      </c>
      <c r="B20" s="252" t="s">
        <v>139</v>
      </c>
      <c r="C20" s="252"/>
      <c r="D20" s="56"/>
      <c r="E20" s="56"/>
      <c r="F20" s="56"/>
      <c r="G20" s="56"/>
      <c r="H20" s="56"/>
    </row>
    <row r="21" spans="1:14" ht="26.25" customHeight="1" x14ac:dyDescent="0.4">
      <c r="A21" s="53" t="s">
        <v>36</v>
      </c>
      <c r="B21" s="252" t="s">
        <v>140</v>
      </c>
      <c r="C21" s="252"/>
      <c r="D21" s="252"/>
      <c r="E21" s="252"/>
      <c r="F21" s="252"/>
      <c r="G21" s="252"/>
      <c r="H21" s="252"/>
      <c r="I21" s="58"/>
    </row>
    <row r="22" spans="1:14" ht="26.25" customHeight="1" x14ac:dyDescent="0.4">
      <c r="A22" s="53" t="s">
        <v>37</v>
      </c>
      <c r="B22" s="59">
        <f>'TDF '!B22</f>
        <v>42678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3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3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53" t="s">
        <v>136</v>
      </c>
      <c r="C26" s="253"/>
    </row>
    <row r="27" spans="1:14" ht="26.25" customHeight="1" x14ac:dyDescent="0.4">
      <c r="A27" s="63" t="s">
        <v>48</v>
      </c>
      <c r="B27" s="231" t="s">
        <v>148</v>
      </c>
      <c r="C27" s="231"/>
    </row>
    <row r="28" spans="1:14" ht="27" customHeight="1" thickBot="1" x14ac:dyDescent="0.45">
      <c r="A28" s="63" t="s">
        <v>6</v>
      </c>
      <c r="B28" s="64">
        <v>99.8</v>
      </c>
    </row>
    <row r="29" spans="1:14" s="49" customFormat="1" ht="27" customHeight="1" thickBot="1" x14ac:dyDescent="0.45">
      <c r="A29" s="63" t="s">
        <v>49</v>
      </c>
      <c r="B29" s="65">
        <v>0</v>
      </c>
      <c r="C29" s="232" t="s">
        <v>50</v>
      </c>
      <c r="D29" s="233"/>
      <c r="E29" s="233"/>
      <c r="F29" s="233"/>
      <c r="G29" s="234"/>
      <c r="I29" s="66"/>
      <c r="J29" s="66"/>
      <c r="K29" s="66"/>
      <c r="L29" s="66"/>
    </row>
    <row r="30" spans="1:14" s="49" customFormat="1" ht="19.5" customHeight="1" thickBot="1" x14ac:dyDescent="0.35">
      <c r="A30" s="63" t="s">
        <v>51</v>
      </c>
      <c r="B30" s="67">
        <f>B28-B29</f>
        <v>99.8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9" customFormat="1" ht="27" customHeight="1" thickBot="1" x14ac:dyDescent="0.45">
      <c r="A31" s="63" t="s">
        <v>52</v>
      </c>
      <c r="B31" s="70">
        <v>1</v>
      </c>
      <c r="C31" s="235" t="s">
        <v>53</v>
      </c>
      <c r="D31" s="236"/>
      <c r="E31" s="236"/>
      <c r="F31" s="236"/>
      <c r="G31" s="236"/>
      <c r="H31" s="237"/>
      <c r="I31" s="66"/>
      <c r="J31" s="66"/>
      <c r="K31" s="66"/>
      <c r="L31" s="66"/>
    </row>
    <row r="32" spans="1:14" s="49" customFormat="1" ht="27" customHeight="1" thickBot="1" x14ac:dyDescent="0.45">
      <c r="A32" s="63" t="s">
        <v>54</v>
      </c>
      <c r="B32" s="70">
        <v>1</v>
      </c>
      <c r="C32" s="235" t="s">
        <v>55</v>
      </c>
      <c r="D32" s="236"/>
      <c r="E32" s="236"/>
      <c r="F32" s="236"/>
      <c r="G32" s="236"/>
      <c r="H32" s="237"/>
      <c r="I32" s="66"/>
      <c r="J32" s="66"/>
      <c r="K32" s="66"/>
      <c r="L32" s="71"/>
      <c r="M32" s="71"/>
      <c r="N32" s="72"/>
    </row>
    <row r="33" spans="1:14" s="49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9" customFormat="1" ht="18.75" x14ac:dyDescent="0.3">
      <c r="A34" s="63" t="s">
        <v>56</v>
      </c>
      <c r="B34" s="75">
        <f>B31/B32</f>
        <v>1</v>
      </c>
      <c r="C34" s="52" t="s">
        <v>57</v>
      </c>
      <c r="D34" s="52"/>
      <c r="E34" s="52"/>
      <c r="F34" s="52"/>
      <c r="G34" s="52"/>
      <c r="I34" s="66"/>
      <c r="J34" s="66"/>
      <c r="K34" s="66"/>
      <c r="L34" s="71"/>
      <c r="M34" s="71"/>
      <c r="N34" s="72"/>
    </row>
    <row r="35" spans="1:14" s="49" customFormat="1" ht="19.5" customHeight="1" thickBot="1" x14ac:dyDescent="0.35">
      <c r="A35" s="63"/>
      <c r="B35" s="67"/>
      <c r="G35" s="52"/>
      <c r="I35" s="66"/>
      <c r="J35" s="66"/>
      <c r="K35" s="66"/>
      <c r="L35" s="71"/>
      <c r="M35" s="71"/>
      <c r="N35" s="72"/>
    </row>
    <row r="36" spans="1:14" s="49" customFormat="1" ht="27" customHeight="1" thickBot="1" x14ac:dyDescent="0.45">
      <c r="A36" s="76" t="s">
        <v>58</v>
      </c>
      <c r="B36" s="77">
        <v>10</v>
      </c>
      <c r="C36" s="52"/>
      <c r="D36" s="238" t="s">
        <v>59</v>
      </c>
      <c r="E36" s="251"/>
      <c r="F36" s="238" t="s">
        <v>60</v>
      </c>
      <c r="G36" s="239"/>
      <c r="J36" s="66"/>
      <c r="K36" s="66"/>
      <c r="L36" s="71"/>
      <c r="M36" s="71"/>
      <c r="N36" s="72"/>
    </row>
    <row r="37" spans="1:14" s="49" customFormat="1" ht="27" customHeight="1" thickBot="1" x14ac:dyDescent="0.45">
      <c r="A37" s="78" t="s">
        <v>61</v>
      </c>
      <c r="B37" s="79">
        <v>4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49" customFormat="1" ht="26.25" customHeight="1" x14ac:dyDescent="0.4">
      <c r="A38" s="78" t="s">
        <v>66</v>
      </c>
      <c r="B38" s="79">
        <v>50</v>
      </c>
      <c r="C38" s="85">
        <v>1</v>
      </c>
      <c r="D38" s="86">
        <v>30327583</v>
      </c>
      <c r="E38" s="87">
        <f>IF(ISBLANK(D38),"-",$D$48/$D$45*D38)</f>
        <v>30633427.136531126</v>
      </c>
      <c r="F38" s="86">
        <v>43644032</v>
      </c>
      <c r="G38" s="88">
        <f>IF(ISBLANK(F38),"-",$D$48/$F$45*F38)</f>
        <v>30681591.433568731</v>
      </c>
      <c r="I38" s="89"/>
      <c r="J38" s="66"/>
      <c r="K38" s="66"/>
      <c r="L38" s="71"/>
      <c r="M38" s="71"/>
      <c r="N38" s="72"/>
    </row>
    <row r="39" spans="1:14" s="49" customFormat="1" ht="26.25" customHeight="1" x14ac:dyDescent="0.4">
      <c r="A39" s="78" t="s">
        <v>67</v>
      </c>
      <c r="B39" s="79">
        <v>1</v>
      </c>
      <c r="C39" s="90">
        <v>2</v>
      </c>
      <c r="D39" s="91">
        <v>30801107</v>
      </c>
      <c r="E39" s="92">
        <f>IF(ISBLANK(D39),"-",$D$48/$D$45*D39)</f>
        <v>31111726.477147844</v>
      </c>
      <c r="F39" s="91">
        <v>42797311</v>
      </c>
      <c r="G39" s="93">
        <f>IF(ISBLANK(F39),"-",$D$48/$F$45*F39)</f>
        <v>30086349.73407995</v>
      </c>
      <c r="I39" s="220">
        <f>ABS((F43/D43*D42)-F42)/D42</f>
        <v>5.9655951407942987E-3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91">
        <v>29892730</v>
      </c>
      <c r="E40" s="92">
        <f>IF(ISBLANK(D40),"-",$D$48/$D$45*D40)</f>
        <v>30194188.780787379</v>
      </c>
      <c r="F40" s="91">
        <v>43797781</v>
      </c>
      <c r="G40" s="93">
        <f>IF(ISBLANK(F40),"-",$D$48/$F$45*F40)</f>
        <v>30789676.40613313</v>
      </c>
      <c r="I40" s="220"/>
      <c r="L40" s="71"/>
      <c r="M40" s="71"/>
      <c r="N40" s="52"/>
    </row>
    <row r="41" spans="1:14" ht="27" customHeight="1" thickBot="1" x14ac:dyDescent="0.45">
      <c r="A41" s="78" t="s">
        <v>69</v>
      </c>
      <c r="B41" s="79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1"/>
      <c r="M41" s="71"/>
      <c r="N41" s="52"/>
    </row>
    <row r="42" spans="1:14" ht="27" customHeight="1" thickBot="1" x14ac:dyDescent="0.45">
      <c r="A42" s="78" t="s">
        <v>70</v>
      </c>
      <c r="B42" s="79">
        <v>1</v>
      </c>
      <c r="C42" s="99" t="s">
        <v>71</v>
      </c>
      <c r="D42" s="100">
        <f>AVERAGE(D38:D41)</f>
        <v>30340473.333333332</v>
      </c>
      <c r="E42" s="101">
        <f>AVERAGE(E38:E41)</f>
        <v>30646447.464822114</v>
      </c>
      <c r="F42" s="100">
        <f>AVERAGE(F38:F41)</f>
        <v>43413041.333333336</v>
      </c>
      <c r="G42" s="102">
        <f>AVERAGE(G38:G41)</f>
        <v>30519205.857927274</v>
      </c>
      <c r="H42" s="50"/>
    </row>
    <row r="43" spans="1:14" ht="26.25" customHeight="1" x14ac:dyDescent="0.4">
      <c r="A43" s="78" t="s">
        <v>72</v>
      </c>
      <c r="B43" s="79">
        <v>1</v>
      </c>
      <c r="C43" s="103" t="s">
        <v>73</v>
      </c>
      <c r="D43" s="104">
        <v>14.88</v>
      </c>
      <c r="E43" s="52"/>
      <c r="F43" s="104">
        <v>21.38</v>
      </c>
      <c r="H43" s="50"/>
    </row>
    <row r="44" spans="1:14" ht="26.25" customHeight="1" x14ac:dyDescent="0.4">
      <c r="A44" s="78" t="s">
        <v>74</v>
      </c>
      <c r="B44" s="79">
        <v>1</v>
      </c>
      <c r="C44" s="105" t="s">
        <v>75</v>
      </c>
      <c r="D44" s="106">
        <f>D43*$B$34</f>
        <v>14.88</v>
      </c>
      <c r="E44" s="107"/>
      <c r="F44" s="106">
        <f>F43*$B$34</f>
        <v>21.38</v>
      </c>
      <c r="H44" s="50"/>
    </row>
    <row r="45" spans="1:14" ht="19.5" customHeight="1" thickBot="1" x14ac:dyDescent="0.35">
      <c r="A45" s="78" t="s">
        <v>76</v>
      </c>
      <c r="B45" s="90">
        <f>(B44/B43)*(B42/B41)*(B40/B39)*(B38/B37)*B36</f>
        <v>125</v>
      </c>
      <c r="C45" s="105" t="s">
        <v>77</v>
      </c>
      <c r="D45" s="108">
        <f>D44*$B$30/100</f>
        <v>14.850240000000001</v>
      </c>
      <c r="E45" s="109"/>
      <c r="F45" s="108">
        <f>F44*$B$30/100</f>
        <v>21.337239999999998</v>
      </c>
      <c r="H45" s="50"/>
    </row>
    <row r="46" spans="1:14" ht="19.5" customHeight="1" thickBot="1" x14ac:dyDescent="0.35">
      <c r="A46" s="221" t="s">
        <v>78</v>
      </c>
      <c r="B46" s="225"/>
      <c r="C46" s="105" t="s">
        <v>79</v>
      </c>
      <c r="D46" s="110">
        <f>D45/$B$45</f>
        <v>0.11880192000000001</v>
      </c>
      <c r="E46" s="111"/>
      <c r="F46" s="112">
        <f>F45/$B$45</f>
        <v>0.17069791999999998</v>
      </c>
      <c r="H46" s="50"/>
    </row>
    <row r="47" spans="1:14" ht="27" customHeight="1" thickBot="1" x14ac:dyDescent="0.45">
      <c r="A47" s="223"/>
      <c r="B47" s="226"/>
      <c r="C47" s="113" t="s">
        <v>80</v>
      </c>
      <c r="D47" s="114">
        <v>0.12</v>
      </c>
      <c r="E47" s="115"/>
      <c r="F47" s="111"/>
      <c r="H47" s="50"/>
    </row>
    <row r="48" spans="1:14" ht="18.75" x14ac:dyDescent="0.3">
      <c r="C48" s="116" t="s">
        <v>81</v>
      </c>
      <c r="D48" s="108">
        <f>D47*$B$45</f>
        <v>15</v>
      </c>
      <c r="F48" s="117"/>
      <c r="H48" s="50"/>
    </row>
    <row r="49" spans="1:12" ht="19.5" customHeight="1" thickBot="1" x14ac:dyDescent="0.35">
      <c r="C49" s="118" t="s">
        <v>82</v>
      </c>
      <c r="D49" s="119">
        <f>D48/B34</f>
        <v>15</v>
      </c>
      <c r="F49" s="117"/>
      <c r="H49" s="50"/>
    </row>
    <row r="50" spans="1:12" ht="18.75" x14ac:dyDescent="0.3">
      <c r="C50" s="76" t="s">
        <v>83</v>
      </c>
      <c r="D50" s="120">
        <f>AVERAGE(E38:E41,G38:G41)</f>
        <v>30582826.661374688</v>
      </c>
      <c r="F50" s="121"/>
      <c r="H50" s="50"/>
    </row>
    <row r="51" spans="1:12" ht="18.75" x14ac:dyDescent="0.3">
      <c r="C51" s="78" t="s">
        <v>84</v>
      </c>
      <c r="D51" s="122">
        <f>STDEV(E38:E41,G38:G41)/D50</f>
        <v>1.2514148437375307E-2</v>
      </c>
      <c r="F51" s="121"/>
      <c r="H51" s="50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2" t="s">
        <v>86</v>
      </c>
      <c r="B55" s="127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127" t="s">
        <v>87</v>
      </c>
      <c r="B56" s="128">
        <v>300</v>
      </c>
      <c r="C56" s="52" t="str">
        <f>B20</f>
        <v>Lamivudine and Tenofovir Disoproxil Fumarate</v>
      </c>
      <c r="H56" s="107"/>
    </row>
    <row r="57" spans="1:12" ht="18.75" x14ac:dyDescent="0.3">
      <c r="A57" s="127" t="s">
        <v>88</v>
      </c>
      <c r="B57" s="129">
        <f>Efavirenz!B57</f>
        <v>1764.4224999999999</v>
      </c>
      <c r="H57" s="107"/>
    </row>
    <row r="58" spans="1:12" ht="19.5" customHeight="1" thickBot="1" x14ac:dyDescent="0.35">
      <c r="H58" s="107"/>
    </row>
    <row r="59" spans="1:12" s="49" customFormat="1" ht="27" customHeight="1" thickBot="1" x14ac:dyDescent="0.45">
      <c r="A59" s="76" t="s">
        <v>89</v>
      </c>
      <c r="B59" s="77">
        <v>100</v>
      </c>
      <c r="C59" s="52"/>
      <c r="D59" s="130" t="s">
        <v>90</v>
      </c>
      <c r="E59" s="131" t="s">
        <v>62</v>
      </c>
      <c r="F59" s="131" t="s">
        <v>63</v>
      </c>
      <c r="G59" s="131" t="s">
        <v>91</v>
      </c>
      <c r="H59" s="80" t="s">
        <v>92</v>
      </c>
      <c r="L59" s="66"/>
    </row>
    <row r="60" spans="1:12" s="49" customFormat="1" ht="26.25" customHeight="1" x14ac:dyDescent="0.4">
      <c r="A60" s="78" t="s">
        <v>93</v>
      </c>
      <c r="B60" s="79">
        <v>5</v>
      </c>
      <c r="C60" s="240" t="s">
        <v>94</v>
      </c>
      <c r="D60" s="243">
        <f>'TDF '!D60:D63</f>
        <v>1815.6</v>
      </c>
      <c r="E60" s="132">
        <v>1</v>
      </c>
      <c r="F60" s="133"/>
      <c r="G60" s="134" t="str">
        <f>IF(ISBLANK(F60),"-",(F60/$D$50*$D$47*$B$68)*($B$57/$D$60))</f>
        <v>-</v>
      </c>
      <c r="H60" s="135" t="str">
        <f t="shared" ref="H60:H71" si="0">IF(ISBLANK(F60),"-",(G60/$B$56)*100)</f>
        <v>-</v>
      </c>
      <c r="L60" s="66"/>
    </row>
    <row r="61" spans="1:12" s="49" customFormat="1" ht="26.25" customHeight="1" x14ac:dyDescent="0.4">
      <c r="A61" s="78" t="s">
        <v>95</v>
      </c>
      <c r="B61" s="79">
        <v>100</v>
      </c>
      <c r="C61" s="241"/>
      <c r="D61" s="244"/>
      <c r="E61" s="136">
        <v>2</v>
      </c>
      <c r="F61" s="91">
        <v>41891469</v>
      </c>
      <c r="G61" s="137">
        <f>IF(ISBLANK(F61),"-",(F61/$D$50*$D$47*$B$68)*($B$57/$D$60))</f>
        <v>319.47848894334624</v>
      </c>
      <c r="H61" s="138">
        <f t="shared" si="0"/>
        <v>106.49282964778209</v>
      </c>
      <c r="L61" s="66"/>
    </row>
    <row r="62" spans="1:12" s="49" customFormat="1" ht="26.25" customHeight="1" x14ac:dyDescent="0.4">
      <c r="A62" s="78" t="s">
        <v>96</v>
      </c>
      <c r="B62" s="79">
        <v>1</v>
      </c>
      <c r="C62" s="241"/>
      <c r="D62" s="244"/>
      <c r="E62" s="136">
        <v>3</v>
      </c>
      <c r="F62" s="139">
        <v>40753310</v>
      </c>
      <c r="G62" s="137">
        <f>IF(ISBLANK(F62),"-",(F62/$D$50*$D$47*$B$68)*($B$57/$D$60))</f>
        <v>310.79850406391239</v>
      </c>
      <c r="H62" s="138">
        <f t="shared" si="0"/>
        <v>103.59950135463747</v>
      </c>
      <c r="L62" s="66"/>
    </row>
    <row r="63" spans="1:12" ht="27" customHeight="1" thickBot="1" x14ac:dyDescent="0.45">
      <c r="A63" s="78" t="s">
        <v>97</v>
      </c>
      <c r="B63" s="79">
        <v>1</v>
      </c>
      <c r="C63" s="242"/>
      <c r="D63" s="245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240" t="s">
        <v>99</v>
      </c>
      <c r="D64" s="243">
        <f>'TDF '!D64:D67</f>
        <v>1773.92</v>
      </c>
      <c r="E64" s="132">
        <v>1</v>
      </c>
      <c r="F64" s="133">
        <v>39401121</v>
      </c>
      <c r="G64" s="134">
        <f>IF(ISBLANK(F64),"-",(F64/$D$50*$D$47*$B$68)*($B$57/$D$64))</f>
        <v>307.54647503600376</v>
      </c>
      <c r="H64" s="135">
        <f t="shared" si="0"/>
        <v>102.51549167866791</v>
      </c>
    </row>
    <row r="65" spans="1:8" ht="26.25" customHeight="1" x14ac:dyDescent="0.4">
      <c r="A65" s="78" t="s">
        <v>100</v>
      </c>
      <c r="B65" s="79">
        <v>1</v>
      </c>
      <c r="C65" s="241"/>
      <c r="D65" s="244"/>
      <c r="E65" s="136">
        <v>2</v>
      </c>
      <c r="F65" s="91"/>
      <c r="G65" s="137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8" t="s">
        <v>101</v>
      </c>
      <c r="B66" s="79">
        <v>1</v>
      </c>
      <c r="C66" s="241"/>
      <c r="D66" s="244"/>
      <c r="E66" s="136">
        <v>3</v>
      </c>
      <c r="F66" s="91"/>
      <c r="G66" s="137" t="str">
        <f>IF(ISBLANK(F66),"-",(F66/$D$50*$D$47*$B$68)*($B$57/$D$64))</f>
        <v>-</v>
      </c>
      <c r="H66" s="138" t="str">
        <f t="shared" si="0"/>
        <v>-</v>
      </c>
    </row>
    <row r="67" spans="1:8" ht="27" customHeight="1" thickBot="1" x14ac:dyDescent="0.45">
      <c r="A67" s="78" t="s">
        <v>102</v>
      </c>
      <c r="B67" s="79">
        <v>1</v>
      </c>
      <c r="C67" s="242"/>
      <c r="D67" s="245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8" t="s">
        <v>103</v>
      </c>
      <c r="B68" s="144">
        <f>(B67/B66)*(B65/B64)*(B63/B62)*(B61/B60)*B59</f>
        <v>2000</v>
      </c>
      <c r="C68" s="240" t="s">
        <v>104</v>
      </c>
      <c r="D68" s="243">
        <f>'TDF '!D68:D71</f>
        <v>1783.82</v>
      </c>
      <c r="E68" s="132">
        <v>1</v>
      </c>
      <c r="F68" s="133">
        <v>39843746</v>
      </c>
      <c r="G68" s="134">
        <f>IF(ISBLANK(F68),"-",(F68/$D$50*$D$47*$B$68)*($B$57/$D$68))</f>
        <v>309.27537328471124</v>
      </c>
      <c r="H68" s="138">
        <f t="shared" si="0"/>
        <v>103.09179109490374</v>
      </c>
    </row>
    <row r="69" spans="1:8" ht="27" customHeight="1" thickBot="1" x14ac:dyDescent="0.45">
      <c r="A69" s="123" t="s">
        <v>105</v>
      </c>
      <c r="B69" s="145">
        <f>(D47*B68)/B56*B57</f>
        <v>1411.538</v>
      </c>
      <c r="C69" s="241"/>
      <c r="D69" s="244"/>
      <c r="E69" s="136">
        <v>2</v>
      </c>
      <c r="F69" s="91">
        <v>39226474</v>
      </c>
      <c r="G69" s="137">
        <f>IF(ISBLANK(F69),"-",(F69/$D$50*$D$47*$B$68)*($B$57/$D$68))</f>
        <v>304.48398072292252</v>
      </c>
      <c r="H69" s="138">
        <f t="shared" si="0"/>
        <v>101.49466024097418</v>
      </c>
    </row>
    <row r="70" spans="1:8" ht="26.25" customHeight="1" x14ac:dyDescent="0.4">
      <c r="A70" s="247" t="s">
        <v>78</v>
      </c>
      <c r="B70" s="248"/>
      <c r="C70" s="241"/>
      <c r="D70" s="244"/>
      <c r="E70" s="136">
        <v>3</v>
      </c>
      <c r="F70" s="91">
        <v>40694264</v>
      </c>
      <c r="G70" s="137">
        <f>IF(ISBLANK(F70),"-",(F70/$D$50*$D$47*$B$68)*($B$57/$D$68))</f>
        <v>315.87726939998527</v>
      </c>
      <c r="H70" s="138">
        <f t="shared" si="0"/>
        <v>105.29242313332843</v>
      </c>
    </row>
    <row r="71" spans="1:8" ht="27" customHeight="1" thickBot="1" x14ac:dyDescent="0.45">
      <c r="A71" s="249"/>
      <c r="B71" s="250"/>
      <c r="C71" s="246"/>
      <c r="D71" s="245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71</v>
      </c>
      <c r="G72" s="147">
        <f>AVERAGE(G60:G71)</f>
        <v>311.24334857514691</v>
      </c>
      <c r="H72" s="148">
        <f>AVERAGE(H60:H71)</f>
        <v>103.74778285838228</v>
      </c>
    </row>
    <row r="73" spans="1:8" ht="26.25" customHeight="1" x14ac:dyDescent="0.4">
      <c r="C73" s="107"/>
      <c r="D73" s="107"/>
      <c r="E73" s="107"/>
      <c r="F73" s="149" t="s">
        <v>84</v>
      </c>
      <c r="G73" s="150">
        <f>STDEV(G60:G71)/G72</f>
        <v>1.775657998573937E-2</v>
      </c>
      <c r="H73" s="150">
        <f>STDEV(H60:H71)/H72</f>
        <v>1.7756579985739398E-2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6</v>
      </c>
      <c r="H74" s="152">
        <f>COUNT(H60:H71)</f>
        <v>6</v>
      </c>
    </row>
    <row r="76" spans="1:8" ht="26.25" customHeight="1" x14ac:dyDescent="0.4">
      <c r="A76" s="62" t="s">
        <v>106</v>
      </c>
      <c r="B76" s="63" t="s">
        <v>107</v>
      </c>
      <c r="C76" s="229" t="str">
        <f>B26</f>
        <v>Lamivudine</v>
      </c>
      <c r="D76" s="229"/>
      <c r="E76" s="52" t="s">
        <v>108</v>
      </c>
      <c r="F76" s="52"/>
      <c r="G76" s="153">
        <f>H72</f>
        <v>103.74778285838228</v>
      </c>
      <c r="H76" s="67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31" t="str">
        <f>B26</f>
        <v>Lamivudine</v>
      </c>
      <c r="C79" s="231"/>
    </row>
    <row r="80" spans="1:8" ht="26.25" customHeight="1" x14ac:dyDescent="0.4">
      <c r="A80" s="63" t="s">
        <v>48</v>
      </c>
      <c r="B80" s="231" t="str">
        <f>B27</f>
        <v>L42 3</v>
      </c>
      <c r="C80" s="231"/>
    </row>
    <row r="81" spans="1:12" ht="27" customHeight="1" thickBot="1" x14ac:dyDescent="0.45">
      <c r="A81" s="63" t="s">
        <v>6</v>
      </c>
      <c r="B81" s="64">
        <f>B28</f>
        <v>99.8</v>
      </c>
    </row>
    <row r="82" spans="1:12" s="49" customFormat="1" ht="27" customHeight="1" thickBot="1" x14ac:dyDescent="0.45">
      <c r="A82" s="63" t="s">
        <v>49</v>
      </c>
      <c r="B82" s="65">
        <v>0</v>
      </c>
      <c r="C82" s="232" t="s">
        <v>50</v>
      </c>
      <c r="D82" s="233"/>
      <c r="E82" s="233"/>
      <c r="F82" s="233"/>
      <c r="G82" s="234"/>
      <c r="I82" s="66"/>
      <c r="J82" s="66"/>
      <c r="K82" s="66"/>
      <c r="L82" s="66"/>
    </row>
    <row r="83" spans="1:12" s="49" customFormat="1" ht="19.5" customHeight="1" thickBot="1" x14ac:dyDescent="0.35">
      <c r="A83" s="63" t="s">
        <v>51</v>
      </c>
      <c r="B83" s="67">
        <f>B81-B82</f>
        <v>99.8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9" customFormat="1" ht="27" customHeight="1" thickBot="1" x14ac:dyDescent="0.45">
      <c r="A84" s="63" t="s">
        <v>52</v>
      </c>
      <c r="B84" s="70">
        <v>1</v>
      </c>
      <c r="C84" s="235" t="s">
        <v>111</v>
      </c>
      <c r="D84" s="236"/>
      <c r="E84" s="236"/>
      <c r="F84" s="236"/>
      <c r="G84" s="236"/>
      <c r="H84" s="237"/>
      <c r="I84" s="66"/>
      <c r="J84" s="66"/>
      <c r="K84" s="66"/>
      <c r="L84" s="66"/>
    </row>
    <row r="85" spans="1:12" s="49" customFormat="1" ht="27" customHeight="1" thickBot="1" x14ac:dyDescent="0.45">
      <c r="A85" s="63" t="s">
        <v>54</v>
      </c>
      <c r="B85" s="70">
        <v>1</v>
      </c>
      <c r="C85" s="235" t="s">
        <v>112</v>
      </c>
      <c r="D85" s="236"/>
      <c r="E85" s="236"/>
      <c r="F85" s="236"/>
      <c r="G85" s="236"/>
      <c r="H85" s="237"/>
      <c r="I85" s="66"/>
      <c r="J85" s="66"/>
      <c r="K85" s="66"/>
      <c r="L85" s="66"/>
    </row>
    <row r="86" spans="1:12" s="49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9" customFormat="1" ht="18.75" x14ac:dyDescent="0.3">
      <c r="A87" s="63" t="s">
        <v>56</v>
      </c>
      <c r="B87" s="75">
        <f>B84/B85</f>
        <v>1</v>
      </c>
      <c r="C87" s="52" t="s">
        <v>57</v>
      </c>
      <c r="D87" s="52"/>
      <c r="E87" s="52"/>
      <c r="F87" s="52"/>
      <c r="G87" s="52"/>
      <c r="I87" s="66"/>
      <c r="J87" s="66"/>
      <c r="K87" s="66"/>
      <c r="L87" s="66"/>
    </row>
    <row r="88" spans="1:12" ht="19.5" customHeight="1" thickBot="1" x14ac:dyDescent="0.35">
      <c r="A88" s="61"/>
      <c r="B88" s="61"/>
    </row>
    <row r="89" spans="1:12" ht="27" customHeight="1" thickBot="1" x14ac:dyDescent="0.45">
      <c r="A89" s="76" t="s">
        <v>58</v>
      </c>
      <c r="B89" s="77">
        <v>50</v>
      </c>
      <c r="D89" s="154" t="s">
        <v>59</v>
      </c>
      <c r="E89" s="155"/>
      <c r="F89" s="238" t="s">
        <v>60</v>
      </c>
      <c r="G89" s="239"/>
    </row>
    <row r="90" spans="1:12" ht="27" customHeight="1" thickBot="1" x14ac:dyDescent="0.45">
      <c r="A90" s="78" t="s">
        <v>61</v>
      </c>
      <c r="B90" s="79">
        <v>1</v>
      </c>
      <c r="C90" s="156" t="s">
        <v>62</v>
      </c>
      <c r="D90" s="81" t="s">
        <v>63</v>
      </c>
      <c r="E90" s="82" t="s">
        <v>64</v>
      </c>
      <c r="F90" s="81" t="s">
        <v>63</v>
      </c>
      <c r="G90" s="157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1</v>
      </c>
      <c r="C91" s="158">
        <v>1</v>
      </c>
      <c r="D91" s="354">
        <v>42655878</v>
      </c>
      <c r="E91" s="87">
        <f>IF(ISBLANK(D91),"-",$D$101/$D$98*D91)</f>
        <v>49776429.41161827</v>
      </c>
      <c r="F91" s="354">
        <v>44803635</v>
      </c>
      <c r="G91" s="88">
        <f>IF(ISBLANK(F91),"-",$D$101/$F$98*F91)</f>
        <v>49587726.63146618</v>
      </c>
      <c r="I91" s="89"/>
    </row>
    <row r="92" spans="1:12" ht="26.25" customHeight="1" x14ac:dyDescent="0.4">
      <c r="A92" s="78" t="s">
        <v>67</v>
      </c>
      <c r="B92" s="79">
        <v>1</v>
      </c>
      <c r="C92" s="107">
        <v>2</v>
      </c>
      <c r="D92" s="355">
        <v>42265757</v>
      </c>
      <c r="E92" s="92">
        <f>IF(ISBLANK(D92),"-",$D$101/$D$98*D92)</f>
        <v>49321185.460984081</v>
      </c>
      <c r="F92" s="355">
        <v>44637746</v>
      </c>
      <c r="G92" s="93">
        <f>IF(ISBLANK(F92),"-",$D$101/$F$98*F92)</f>
        <v>49404124.154051848</v>
      </c>
      <c r="I92" s="220">
        <f>ABS((F96/D96*D95)-F95)/D95</f>
        <v>3.7065878116987748E-4</v>
      </c>
    </row>
    <row r="93" spans="1:12" ht="26.25" customHeight="1" x14ac:dyDescent="0.4">
      <c r="A93" s="78" t="s">
        <v>68</v>
      </c>
      <c r="B93" s="79">
        <v>1</v>
      </c>
      <c r="C93" s="107">
        <v>3</v>
      </c>
      <c r="D93" s="355">
        <v>42488997</v>
      </c>
      <c r="E93" s="92">
        <f>IF(ISBLANK(D93),"-",$D$101/$D$98*D93)</f>
        <v>49581690.943999805</v>
      </c>
      <c r="F93" s="355">
        <v>44846516</v>
      </c>
      <c r="G93" s="93">
        <f>IF(ISBLANK(F93),"-",$D$101/$F$98*F93)</f>
        <v>49635186.425870895</v>
      </c>
      <c r="I93" s="220"/>
    </row>
    <row r="94" spans="1:12" ht="27" customHeight="1" thickBot="1" x14ac:dyDescent="0.45">
      <c r="A94" s="78" t="s">
        <v>69</v>
      </c>
      <c r="B94" s="79">
        <v>1</v>
      </c>
      <c r="C94" s="159">
        <v>4</v>
      </c>
      <c r="D94" s="356"/>
      <c r="E94" s="96" t="str">
        <f>IF(ISBLANK(D94),"-",$D$101/$D$98*D94)</f>
        <v>-</v>
      </c>
      <c r="F94" s="357"/>
      <c r="G94" s="97" t="str">
        <f>IF(ISBLANK(F94),"-",$D$101/$F$98*F94)</f>
        <v>-</v>
      </c>
      <c r="I94" s="98"/>
    </row>
    <row r="95" spans="1:12" ht="27" customHeight="1" thickBot="1" x14ac:dyDescent="0.45">
      <c r="A95" s="78" t="s">
        <v>70</v>
      </c>
      <c r="B95" s="79">
        <v>1</v>
      </c>
      <c r="C95" s="63" t="s">
        <v>71</v>
      </c>
      <c r="D95" s="160">
        <f>AVERAGE(D91:D94)</f>
        <v>42470210.666666664</v>
      </c>
      <c r="E95" s="101">
        <f>AVERAGE(E91:E94)</f>
        <v>49559768.605534047</v>
      </c>
      <c r="F95" s="161">
        <f>AVERAGE(F91:F94)</f>
        <v>44762632.333333336</v>
      </c>
      <c r="G95" s="162">
        <f>AVERAGE(G91:G94)</f>
        <v>49542345.737129636</v>
      </c>
    </row>
    <row r="96" spans="1:12" ht="26.25" customHeight="1" x14ac:dyDescent="0.4">
      <c r="A96" s="78" t="s">
        <v>72</v>
      </c>
      <c r="B96" s="64">
        <v>1</v>
      </c>
      <c r="C96" s="163" t="s">
        <v>113</v>
      </c>
      <c r="D96" s="164">
        <v>12.88</v>
      </c>
      <c r="E96" s="52"/>
      <c r="F96" s="104">
        <v>13.58</v>
      </c>
    </row>
    <row r="97" spans="1:10" ht="26.25" customHeight="1" x14ac:dyDescent="0.4">
      <c r="A97" s="78" t="s">
        <v>74</v>
      </c>
      <c r="B97" s="64">
        <v>1</v>
      </c>
      <c r="C97" s="165" t="s">
        <v>114</v>
      </c>
      <c r="D97" s="166">
        <f>D96*$B$87</f>
        <v>12.88</v>
      </c>
      <c r="E97" s="107"/>
      <c r="F97" s="106">
        <f>F96*$B$87</f>
        <v>13.58</v>
      </c>
    </row>
    <row r="98" spans="1:10" ht="19.5" customHeight="1" thickBot="1" x14ac:dyDescent="0.35">
      <c r="A98" s="78" t="s">
        <v>76</v>
      </c>
      <c r="B98" s="107">
        <f>(B97/B96)*(B95/B94)*(B93/B92)*(B91/B90)*B89</f>
        <v>50</v>
      </c>
      <c r="C98" s="165" t="s">
        <v>115</v>
      </c>
      <c r="D98" s="167">
        <f>D97*$B$83/100</f>
        <v>12.854239999999999</v>
      </c>
      <c r="E98" s="109"/>
      <c r="F98" s="108">
        <f>F97*$B$83/100</f>
        <v>13.552839999999998</v>
      </c>
    </row>
    <row r="99" spans="1:10" ht="19.5" customHeight="1" thickBot="1" x14ac:dyDescent="0.35">
      <c r="A99" s="221" t="s">
        <v>78</v>
      </c>
      <c r="B99" s="222"/>
      <c r="C99" s="165" t="s">
        <v>116</v>
      </c>
      <c r="D99" s="168">
        <f>D98/$B$98</f>
        <v>0.2570848</v>
      </c>
      <c r="E99" s="109"/>
      <c r="F99" s="112">
        <f>F98/$B$98</f>
        <v>0.27105679999999999</v>
      </c>
      <c r="H99" s="50"/>
    </row>
    <row r="100" spans="1:10" ht="19.5" customHeight="1" thickBot="1" x14ac:dyDescent="0.35">
      <c r="A100" s="223"/>
      <c r="B100" s="224"/>
      <c r="C100" s="165" t="s">
        <v>80</v>
      </c>
      <c r="D100" s="169">
        <f>$B$56/$B$116</f>
        <v>0.3</v>
      </c>
      <c r="F100" s="117"/>
      <c r="G100" s="170"/>
      <c r="H100" s="50"/>
    </row>
    <row r="101" spans="1:10" ht="18.75" x14ac:dyDescent="0.3">
      <c r="C101" s="165" t="s">
        <v>81</v>
      </c>
      <c r="D101" s="166">
        <f>D100*$B$98</f>
        <v>15</v>
      </c>
      <c r="F101" s="117"/>
      <c r="H101" s="50"/>
    </row>
    <row r="102" spans="1:10" ht="19.5" customHeight="1" thickBot="1" x14ac:dyDescent="0.35">
      <c r="C102" s="171" t="s">
        <v>82</v>
      </c>
      <c r="D102" s="172">
        <f>D101/B34</f>
        <v>15</v>
      </c>
      <c r="F102" s="121"/>
      <c r="H102" s="50"/>
      <c r="J102" s="173"/>
    </row>
    <row r="103" spans="1:10" ht="18.75" x14ac:dyDescent="0.3">
      <c r="C103" s="174" t="s">
        <v>117</v>
      </c>
      <c r="D103" s="175">
        <f>AVERAGE(E91:E94,G91:G94)</f>
        <v>49551057.171331845</v>
      </c>
      <c r="F103" s="121"/>
      <c r="G103" s="170"/>
      <c r="H103" s="50"/>
      <c r="J103" s="176"/>
    </row>
    <row r="104" spans="1:10" ht="18.75" x14ac:dyDescent="0.3">
      <c r="C104" s="149" t="s">
        <v>84</v>
      </c>
      <c r="D104" s="177">
        <f>STDEV(E91:E94,G91:G94)/D103</f>
        <v>3.3109941891347684E-3</v>
      </c>
      <c r="F104" s="121"/>
      <c r="H104" s="50"/>
      <c r="J104" s="176"/>
    </row>
    <row r="105" spans="1:10" ht="19.5" customHeight="1" thickBot="1" x14ac:dyDescent="0.35">
      <c r="C105" s="151" t="s">
        <v>20</v>
      </c>
      <c r="D105" s="178">
        <f>COUNT(E91:E94,G91:G94)</f>
        <v>6</v>
      </c>
      <c r="F105" s="121"/>
      <c r="H105" s="50"/>
      <c r="J105" s="176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6" t="s">
        <v>118</v>
      </c>
      <c r="B107" s="77">
        <v>1000</v>
      </c>
      <c r="C107" s="131" t="s">
        <v>119</v>
      </c>
      <c r="D107" s="131" t="s">
        <v>63</v>
      </c>
      <c r="E107" s="131" t="s">
        <v>120</v>
      </c>
      <c r="F107" s="179" t="s">
        <v>121</v>
      </c>
    </row>
    <row r="108" spans="1:10" ht="26.25" customHeight="1" x14ac:dyDescent="0.4">
      <c r="A108" s="78" t="s">
        <v>122</v>
      </c>
      <c r="B108" s="79">
        <v>1</v>
      </c>
      <c r="C108" s="132">
        <v>1</v>
      </c>
      <c r="D108" s="180">
        <v>48186117</v>
      </c>
      <c r="E108" s="181">
        <f t="shared" ref="E108:E113" si="1">IF(ISBLANK(D108),"-",D108/$D$103*$D$100*$B$116)</f>
        <v>291.73615913009291</v>
      </c>
      <c r="F108" s="182">
        <f t="shared" ref="F108:F113" si="2">IF(ISBLANK(D108), "-", (E108/$B$56)*100)</f>
        <v>97.245386376697638</v>
      </c>
    </row>
    <row r="109" spans="1:10" ht="26.25" customHeight="1" x14ac:dyDescent="0.4">
      <c r="A109" s="78" t="s">
        <v>95</v>
      </c>
      <c r="B109" s="79">
        <v>1</v>
      </c>
      <c r="C109" s="136">
        <v>2</v>
      </c>
      <c r="D109" s="183">
        <v>48208295</v>
      </c>
      <c r="E109" s="184">
        <f t="shared" si="1"/>
        <v>291.87043275370087</v>
      </c>
      <c r="F109" s="185">
        <f t="shared" si="2"/>
        <v>97.290144251233627</v>
      </c>
    </row>
    <row r="110" spans="1:10" ht="26.25" customHeight="1" x14ac:dyDescent="0.4">
      <c r="A110" s="78" t="s">
        <v>96</v>
      </c>
      <c r="B110" s="79">
        <v>1</v>
      </c>
      <c r="C110" s="136">
        <v>3</v>
      </c>
      <c r="D110" s="183">
        <v>48288703</v>
      </c>
      <c r="E110" s="184">
        <f t="shared" si="1"/>
        <v>292.3572518323856</v>
      </c>
      <c r="F110" s="185">
        <f t="shared" si="2"/>
        <v>97.452417277461862</v>
      </c>
    </row>
    <row r="111" spans="1:10" ht="26.25" customHeight="1" x14ac:dyDescent="0.4">
      <c r="A111" s="78" t="s">
        <v>97</v>
      </c>
      <c r="B111" s="79">
        <v>1</v>
      </c>
      <c r="C111" s="136">
        <v>4</v>
      </c>
      <c r="D111" s="183">
        <v>48122994</v>
      </c>
      <c r="E111" s="184">
        <f t="shared" si="1"/>
        <v>291.35398968546286</v>
      </c>
      <c r="F111" s="185">
        <f t="shared" si="2"/>
        <v>97.117996561820945</v>
      </c>
    </row>
    <row r="112" spans="1:10" ht="26.25" customHeight="1" x14ac:dyDescent="0.4">
      <c r="A112" s="78" t="s">
        <v>98</v>
      </c>
      <c r="B112" s="79">
        <v>1</v>
      </c>
      <c r="C112" s="136">
        <v>5</v>
      </c>
      <c r="D112" s="183">
        <v>47953096</v>
      </c>
      <c r="E112" s="184">
        <f t="shared" si="1"/>
        <v>290.32536581930066</v>
      </c>
      <c r="F112" s="185">
        <f t="shared" si="2"/>
        <v>96.77512193976689</v>
      </c>
    </row>
    <row r="113" spans="1:10" ht="27" customHeight="1" thickBot="1" x14ac:dyDescent="0.45">
      <c r="A113" s="78" t="s">
        <v>100</v>
      </c>
      <c r="B113" s="79">
        <v>1</v>
      </c>
      <c r="C113" s="140">
        <v>6</v>
      </c>
      <c r="D113" s="186">
        <v>48321535</v>
      </c>
      <c r="E113" s="187">
        <f t="shared" si="1"/>
        <v>292.55602862065763</v>
      </c>
      <c r="F113" s="188">
        <f t="shared" si="2"/>
        <v>97.518676206885885</v>
      </c>
    </row>
    <row r="114" spans="1:10" ht="27" customHeight="1" thickBot="1" x14ac:dyDescent="0.45">
      <c r="A114" s="78" t="s">
        <v>101</v>
      </c>
      <c r="B114" s="79">
        <v>1</v>
      </c>
      <c r="C114" s="189"/>
      <c r="D114" s="107"/>
      <c r="E114" s="52"/>
      <c r="F114" s="185"/>
    </row>
    <row r="115" spans="1:10" ht="26.25" customHeight="1" x14ac:dyDescent="0.4">
      <c r="A115" s="78" t="s">
        <v>102</v>
      </c>
      <c r="B115" s="79">
        <v>1</v>
      </c>
      <c r="C115" s="189"/>
      <c r="D115" s="190" t="s">
        <v>71</v>
      </c>
      <c r="E115" s="191">
        <f>AVERAGE(E108:E113)</f>
        <v>291.6998713069334</v>
      </c>
      <c r="F115" s="192">
        <f>AVERAGE(F108:F113)</f>
        <v>97.233290435644463</v>
      </c>
    </row>
    <row r="116" spans="1:10" ht="27" customHeight="1" thickBot="1" x14ac:dyDescent="0.45">
      <c r="A116" s="78" t="s">
        <v>103</v>
      </c>
      <c r="B116" s="90">
        <f>(B115/B114)*(B113/B112)*(B111/B110)*(B109/B108)*B107</f>
        <v>1000</v>
      </c>
      <c r="C116" s="193"/>
      <c r="D116" s="194" t="s">
        <v>84</v>
      </c>
      <c r="E116" s="150">
        <f>STDEV(E108:E113)/E115</f>
        <v>2.744456298062985E-3</v>
      </c>
      <c r="F116" s="195">
        <f>STDEV(F108:F113)/F115</f>
        <v>2.7444562980629911E-3</v>
      </c>
      <c r="I116" s="52"/>
    </row>
    <row r="117" spans="1:10" ht="27" customHeight="1" thickBot="1" x14ac:dyDescent="0.45">
      <c r="A117" s="221" t="s">
        <v>78</v>
      </c>
      <c r="B117" s="225"/>
      <c r="C117" s="196"/>
      <c r="D117" s="151" t="s">
        <v>20</v>
      </c>
      <c r="E117" s="197">
        <f>COUNT(E108:E113)</f>
        <v>6</v>
      </c>
      <c r="F117" s="198">
        <f>COUNT(F108:F113)</f>
        <v>6</v>
      </c>
      <c r="I117" s="52"/>
      <c r="J117" s="176"/>
    </row>
    <row r="118" spans="1:10" ht="26.25" customHeight="1" thickBot="1" x14ac:dyDescent="0.35">
      <c r="A118" s="223"/>
      <c r="B118" s="226"/>
      <c r="C118" s="52"/>
      <c r="D118" s="199"/>
      <c r="E118" s="227" t="s">
        <v>123</v>
      </c>
      <c r="F118" s="228"/>
      <c r="G118" s="52"/>
      <c r="H118" s="52"/>
      <c r="I118" s="52"/>
    </row>
    <row r="119" spans="1:10" ht="25.5" customHeight="1" x14ac:dyDescent="0.4">
      <c r="A119" s="200"/>
      <c r="B119" s="74"/>
      <c r="C119" s="52"/>
      <c r="D119" s="194" t="s">
        <v>124</v>
      </c>
      <c r="E119" s="201">
        <f>MIN(E108:E113)</f>
        <v>290.32536581930066</v>
      </c>
      <c r="F119" s="202">
        <f>MIN(F108:F113)</f>
        <v>96.77512193976689</v>
      </c>
      <c r="G119" s="52"/>
      <c r="H119" s="52"/>
      <c r="I119" s="52"/>
    </row>
    <row r="120" spans="1:10" ht="24" customHeight="1" thickBot="1" x14ac:dyDescent="0.45">
      <c r="A120" s="200"/>
      <c r="B120" s="74"/>
      <c r="C120" s="52"/>
      <c r="D120" s="118" t="s">
        <v>125</v>
      </c>
      <c r="E120" s="203">
        <f>MAX(E108:E113)</f>
        <v>292.55602862065763</v>
      </c>
      <c r="F120" s="204">
        <f>MAX(F108:F113)</f>
        <v>97.518676206885885</v>
      </c>
      <c r="G120" s="52"/>
      <c r="H120" s="52"/>
      <c r="I120" s="52"/>
    </row>
    <row r="121" spans="1:10" ht="27" customHeight="1" x14ac:dyDescent="0.3">
      <c r="A121" s="200"/>
      <c r="B121" s="74"/>
      <c r="C121" s="52"/>
      <c r="D121" s="52"/>
      <c r="E121" s="52"/>
      <c r="F121" s="107"/>
      <c r="G121" s="52"/>
      <c r="H121" s="52"/>
      <c r="I121" s="52"/>
    </row>
    <row r="122" spans="1:10" ht="25.5" customHeight="1" x14ac:dyDescent="0.3">
      <c r="A122" s="200"/>
      <c r="B122" s="74"/>
      <c r="C122" s="52"/>
      <c r="D122" s="52"/>
      <c r="E122" s="52"/>
      <c r="F122" s="107"/>
      <c r="G122" s="52"/>
      <c r="H122" s="52"/>
      <c r="I122" s="52"/>
    </row>
    <row r="123" spans="1:10" ht="18.75" x14ac:dyDescent="0.3">
      <c r="A123" s="200"/>
      <c r="B123" s="74"/>
      <c r="C123" s="52"/>
      <c r="D123" s="52"/>
      <c r="E123" s="52"/>
      <c r="F123" s="107"/>
      <c r="G123" s="52"/>
      <c r="H123" s="52"/>
      <c r="I123" s="52"/>
    </row>
    <row r="124" spans="1:10" ht="45.75" customHeight="1" x14ac:dyDescent="0.65">
      <c r="A124" s="62" t="s">
        <v>106</v>
      </c>
      <c r="B124" s="63" t="s">
        <v>126</v>
      </c>
      <c r="C124" s="229" t="str">
        <f>B26</f>
        <v>Lamivudine</v>
      </c>
      <c r="D124" s="229"/>
      <c r="E124" s="52" t="s">
        <v>127</v>
      </c>
      <c r="F124" s="52"/>
      <c r="G124" s="205">
        <f>F115</f>
        <v>97.233290435644463</v>
      </c>
      <c r="H124" s="52"/>
      <c r="I124" s="52"/>
    </row>
    <row r="125" spans="1:10" ht="45.75" customHeight="1" x14ac:dyDescent="0.65">
      <c r="A125" s="62"/>
      <c r="B125" s="63" t="s">
        <v>128</v>
      </c>
      <c r="C125" s="63" t="s">
        <v>129</v>
      </c>
      <c r="D125" s="205">
        <f>MIN(F108:F113)</f>
        <v>96.77512193976689</v>
      </c>
      <c r="E125" s="63" t="s">
        <v>130</v>
      </c>
      <c r="F125" s="205">
        <f>MAX(F108:F113)</f>
        <v>97.518676206885885</v>
      </c>
      <c r="G125" s="153"/>
      <c r="H125" s="52"/>
      <c r="I125" s="52"/>
    </row>
    <row r="126" spans="1:10" ht="19.5" customHeight="1" thickBot="1" x14ac:dyDescent="0.35">
      <c r="A126" s="206"/>
      <c r="B126" s="206"/>
      <c r="C126" s="207"/>
      <c r="D126" s="207"/>
      <c r="E126" s="207"/>
      <c r="F126" s="207"/>
      <c r="G126" s="207"/>
      <c r="H126" s="207"/>
    </row>
    <row r="127" spans="1:10" ht="18.75" x14ac:dyDescent="0.3">
      <c r="B127" s="230" t="s">
        <v>26</v>
      </c>
      <c r="C127" s="230"/>
      <c r="E127" s="156" t="s">
        <v>27</v>
      </c>
      <c r="F127" s="208"/>
      <c r="G127" s="230" t="s">
        <v>28</v>
      </c>
      <c r="H127" s="230"/>
    </row>
    <row r="128" spans="1:10" ht="69.95" customHeight="1" x14ac:dyDescent="0.3">
      <c r="A128" s="62" t="s">
        <v>29</v>
      </c>
      <c r="B128" s="209"/>
      <c r="C128" s="209"/>
      <c r="E128" s="209"/>
      <c r="F128" s="52"/>
      <c r="G128" s="209"/>
      <c r="H128" s="209"/>
    </row>
    <row r="129" spans="1:9" ht="69.95" customHeight="1" x14ac:dyDescent="0.3">
      <c r="A129" s="62" t="s">
        <v>30</v>
      </c>
      <c r="B129" s="210"/>
      <c r="C129" s="210"/>
      <c r="E129" s="210"/>
      <c r="F129" s="52"/>
      <c r="G129" s="211"/>
      <c r="H129" s="211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52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52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52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52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52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52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52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52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52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Efavirenz</vt:lpstr>
      <vt:lpstr>TDF </vt:lpstr>
      <vt:lpstr>Lamivudine </vt:lpstr>
      <vt:lpstr>Efavirenz!Print_Area</vt:lpstr>
      <vt:lpstr>'Lamivudine '!Print_Area</vt:lpstr>
      <vt:lpstr>'TDF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2016-12-19T15:32:28Z</cp:lastPrinted>
  <dcterms:created xsi:type="dcterms:W3CDTF">2005-07-05T10:19:27Z</dcterms:created>
  <dcterms:modified xsi:type="dcterms:W3CDTF">2016-12-19T15:33:38Z</dcterms:modified>
</cp:coreProperties>
</file>