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 " sheetId="11" r:id="rId2"/>
    <sheet name="Artesunate " sheetId="10" r:id="rId3"/>
    <sheet name="Sodium Chloride" sheetId="5" r:id="rId4"/>
    <sheet name="Sodium Bicarbonate" sheetId="12" r:id="rId5"/>
  </sheets>
  <externalReferences>
    <externalReference r:id="rId6"/>
  </externalReferences>
  <definedNames>
    <definedName name="_xlnm.Print_Area" localSheetId="2">'Artesunate '!$A$1:$H$80</definedName>
    <definedName name="_xlnm.Print_Area" localSheetId="4">'Sodium Bicarbonate'!$A$1:$I$64</definedName>
    <definedName name="_xlnm.Print_Area" localSheetId="3">'Sodium Chloride'!$A$1:$I$64</definedName>
    <definedName name="_xlnm.Print_Area" localSheetId="0">SST!$A$15:$G$61</definedName>
    <definedName name="_xlnm.Print_Area" localSheetId="1">'Uniformity '!$A$10:$G$52</definedName>
  </definedNames>
  <calcPr calcId="145621"/>
</workbook>
</file>

<file path=xl/calcChain.xml><?xml version="1.0" encoding="utf-8"?>
<calcChain xmlns="http://schemas.openxmlformats.org/spreadsheetml/2006/main">
  <c r="B21" i="1" l="1"/>
  <c r="D57" i="12"/>
  <c r="B57" i="12"/>
  <c r="D55" i="12"/>
  <c r="E52" i="12" s="1"/>
  <c r="I54" i="12"/>
  <c r="H54" i="12"/>
  <c r="G54" i="12"/>
  <c r="F54" i="12"/>
  <c r="E54" i="12"/>
  <c r="E53" i="12"/>
  <c r="E51" i="12"/>
  <c r="E47" i="12"/>
  <c r="B47" i="12"/>
  <c r="G37" i="12"/>
  <c r="F37" i="12"/>
  <c r="E37" i="12"/>
  <c r="C37" i="12"/>
  <c r="C36" i="12"/>
  <c r="E36" i="12" s="1"/>
  <c r="G36" i="12" s="1"/>
  <c r="C35" i="12"/>
  <c r="E35" i="12" s="1"/>
  <c r="C34" i="12"/>
  <c r="E34" i="12" s="1"/>
  <c r="B57" i="10"/>
  <c r="C43" i="11"/>
  <c r="B43" i="11"/>
  <c r="C42" i="11"/>
  <c r="B42" i="11"/>
  <c r="D29" i="11"/>
  <c r="D28" i="11"/>
  <c r="D27" i="11"/>
  <c r="D26" i="11"/>
  <c r="D25" i="11"/>
  <c r="D24" i="11"/>
  <c r="D23" i="11"/>
  <c r="D22" i="11"/>
  <c r="D21" i="11"/>
  <c r="D42" i="11" s="1"/>
  <c r="C76" i="10"/>
  <c r="H71" i="10"/>
  <c r="G71" i="10"/>
  <c r="B68" i="10"/>
  <c r="H67" i="10"/>
  <c r="G67" i="10"/>
  <c r="H63" i="10"/>
  <c r="G63" i="10"/>
  <c r="C56" i="10"/>
  <c r="B55" i="10"/>
  <c r="B45" i="10"/>
  <c r="D48" i="10" s="1"/>
  <c r="D49" i="10" s="1"/>
  <c r="D44" i="10"/>
  <c r="F42" i="10"/>
  <c r="D42" i="10"/>
  <c r="G41" i="10"/>
  <c r="E41" i="10"/>
  <c r="B34" i="10"/>
  <c r="F44" i="10" s="1"/>
  <c r="B30" i="10"/>
  <c r="D58" i="5"/>
  <c r="D56" i="5"/>
  <c r="D57" i="5" s="1"/>
  <c r="I55" i="5"/>
  <c r="H55" i="5"/>
  <c r="G55" i="5"/>
  <c r="F55" i="5"/>
  <c r="E55" i="5"/>
  <c r="C48" i="5"/>
  <c r="E46" i="5"/>
  <c r="B44" i="5"/>
  <c r="C37" i="5"/>
  <c r="E37" i="5" s="1"/>
  <c r="C36" i="5"/>
  <c r="E36" i="5" s="1"/>
  <c r="G36" i="5" s="1"/>
  <c r="C35" i="5"/>
  <c r="E35" i="5" s="1"/>
  <c r="C34" i="5"/>
  <c r="E34" i="5" s="1"/>
  <c r="F34" i="5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52" i="5" l="1"/>
  <c r="E54" i="5"/>
  <c r="F37" i="5"/>
  <c r="G37" i="5"/>
  <c r="E53" i="5"/>
  <c r="G35" i="5"/>
  <c r="F35" i="5"/>
  <c r="E40" i="5"/>
  <c r="F36" i="5"/>
  <c r="F36" i="12"/>
  <c r="G35" i="12"/>
  <c r="F35" i="12"/>
  <c r="E40" i="12"/>
  <c r="F34" i="12"/>
  <c r="G34" i="12"/>
  <c r="D56" i="12"/>
  <c r="E38" i="12"/>
  <c r="E39" i="12" s="1"/>
  <c r="B69" i="10"/>
  <c r="D45" i="10"/>
  <c r="F45" i="10"/>
  <c r="D46" i="10"/>
  <c r="E24" i="11"/>
  <c r="E25" i="11"/>
  <c r="D43" i="11"/>
  <c r="E22" i="11" s="1"/>
  <c r="E21" i="11"/>
  <c r="G34" i="5"/>
  <c r="E38" i="5"/>
  <c r="E39" i="5" s="1"/>
  <c r="F38" i="5" l="1"/>
  <c r="G38" i="5"/>
  <c r="F53" i="5" s="1"/>
  <c r="G53" i="5" s="1"/>
  <c r="H53" i="5" s="1"/>
  <c r="I53" i="5" s="1"/>
  <c r="G38" i="12"/>
  <c r="F53" i="12" s="1"/>
  <c r="G53" i="12" s="1"/>
  <c r="H53" i="12" s="1"/>
  <c r="I53" i="12" s="1"/>
  <c r="F38" i="12"/>
  <c r="F46" i="10"/>
  <c r="G39" i="10"/>
  <c r="G38" i="10"/>
  <c r="G42" i="10" s="1"/>
  <c r="G40" i="10"/>
  <c r="E40" i="10"/>
  <c r="E38" i="10"/>
  <c r="E39" i="10"/>
  <c r="D48" i="11"/>
  <c r="B47" i="11"/>
  <c r="C48" i="11"/>
  <c r="E28" i="11"/>
  <c r="E26" i="11"/>
  <c r="D47" i="11"/>
  <c r="E29" i="11"/>
  <c r="E27" i="11"/>
  <c r="C47" i="11"/>
  <c r="E23" i="11"/>
  <c r="F54" i="5"/>
  <c r="G54" i="5" s="1"/>
  <c r="H54" i="5" s="1"/>
  <c r="I54" i="5" s="1"/>
  <c r="F52" i="5" l="1"/>
  <c r="G52" i="5" s="1"/>
  <c r="G56" i="5" s="1"/>
  <c r="F52" i="12"/>
  <c r="G52" i="12" s="1"/>
  <c r="H52" i="12" s="1"/>
  <c r="I52" i="12" s="1"/>
  <c r="F51" i="12"/>
  <c r="G51" i="12" s="1"/>
  <c r="D52" i="10"/>
  <c r="E42" i="10"/>
  <c r="D50" i="10"/>
  <c r="H52" i="5" l="1"/>
  <c r="H56" i="5" s="1"/>
  <c r="H57" i="5" s="1"/>
  <c r="G58" i="5"/>
  <c r="G57" i="12"/>
  <c r="H51" i="12"/>
  <c r="H57" i="12" s="1"/>
  <c r="G55" i="12"/>
  <c r="G65" i="10"/>
  <c r="H65" i="10" s="1"/>
  <c r="G70" i="10"/>
  <c r="H70" i="10" s="1"/>
  <c r="G66" i="10"/>
  <c r="H66" i="10" s="1"/>
  <c r="G69" i="10"/>
  <c r="H69" i="10" s="1"/>
  <c r="G68" i="10"/>
  <c r="H68" i="10" s="1"/>
  <c r="G60" i="10"/>
  <c r="H60" i="10" s="1"/>
  <c r="G64" i="10"/>
  <c r="H64" i="10" s="1"/>
  <c r="G61" i="10"/>
  <c r="H61" i="10" s="1"/>
  <c r="G62" i="10"/>
  <c r="H62" i="10" s="1"/>
  <c r="D51" i="10"/>
  <c r="I52" i="5" l="1"/>
  <c r="I56" i="5" s="1"/>
  <c r="I57" i="5" s="1"/>
  <c r="H58" i="5"/>
  <c r="I51" i="12"/>
  <c r="I55" i="12" s="1"/>
  <c r="I56" i="12" s="1"/>
  <c r="H55" i="12"/>
  <c r="H56" i="12" s="1"/>
  <c r="H74" i="10"/>
  <c r="H72" i="10"/>
  <c r="G76" i="10" s="1"/>
  <c r="I58" i="5" l="1"/>
  <c r="I57" i="12"/>
  <c r="H73" i="10"/>
</calcChain>
</file>

<file path=xl/sharedStrings.xml><?xml version="1.0" encoding="utf-8"?>
<sst xmlns="http://schemas.openxmlformats.org/spreadsheetml/2006/main" count="307" uniqueCount="157">
  <si>
    <t>HPLC System Suitability Report</t>
  </si>
  <si>
    <t>Analysis Data</t>
  </si>
  <si>
    <t>Assay</t>
  </si>
  <si>
    <t>Sample(s)</t>
  </si>
  <si>
    <t>Reference Substance:</t>
  </si>
  <si>
    <t>ARTESUN 60 MG FOR INJECTION</t>
  </si>
  <si>
    <t>% age Purity:</t>
  </si>
  <si>
    <t>NDQB201611202</t>
  </si>
  <si>
    <t>Weight (mg):</t>
  </si>
  <si>
    <t xml:space="preserve">ARTESUNATE 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</si>
  <si>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</si>
  <si>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</si>
  <si>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</si>
  <si>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</si>
  <si>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</si>
  <si>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</si>
  <si>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</si>
  <si>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</si>
  <si>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</si>
  <si>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</si>
  <si>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</si>
  <si>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</si>
  <si>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</si>
  <si>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</si>
  <si>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</si>
  <si>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</si>
  <si>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</si>
  <si>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</si>
  <si>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</si>
  <si>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</si>
  <si>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</si>
  <si>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</si>
  <si>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</si>
  <si>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</si>
  <si>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</si>
  <si>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</si>
  <si>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</si>
  <si>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</si>
  <si>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</si>
  <si>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</si>
  <si>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</si>
  <si>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</si>
  <si>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</si>
  <si>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</si>
  <si>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</si>
  <si>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</si>
  <si>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</si>
  <si>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</si>
  <si>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</si>
  <si>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</si>
  <si>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</si>
  <si>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</si>
  <si>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</si>
  <si>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</si>
  <si>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</si>
  <si>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</si>
  <si>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</si>
  <si>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</si>
  <si>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</si>
  <si>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</si>
  <si>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</si>
  <si>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</si>
  <si>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</si>
  <si>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</si>
  <si>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</si>
  <si>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</si>
  <si>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</si>
  <si>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</si>
  <si>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</si>
  <si>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</si>
  <si>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</si>
  <si>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</si>
  <si>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</si>
  <si>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</si>
  <si>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</si>
  <si>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</si>
  <si>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</si>
  <si>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</si>
  <si>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</si>
  <si>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</si>
  <si>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</si>
  <si>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</si>
  <si>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</si>
  <si>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</si>
  <si>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</si>
  <si>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</si>
  <si>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</si>
  <si>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</si>
  <si>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</si>
  <si>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Amt of RS (mg):</t>
  </si>
  <si>
    <t>Amt of RS as free base (mg):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</si>
  <si>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</si>
  <si>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Sodium Chloride</t>
  </si>
  <si>
    <t>National Quality Control Laoboratory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</si>
  <si>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</si>
  <si>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</si>
  <si>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</si>
  <si>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</si>
  <si>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</si>
  <si>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</si>
  <si>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</si>
  <si>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</si>
  <si>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</si>
  <si>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</si>
  <si>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</si>
  <si>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</si>
  <si>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</si>
  <si>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</si>
  <si>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</si>
  <si>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</si>
  <si>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</si>
  <si>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</si>
  <si>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</si>
  <si>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</si>
  <si>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</si>
  <si>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</si>
  <si>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</si>
  <si>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</si>
  <si>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</si>
  <si>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</si>
  <si>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</si>
  <si>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</si>
  <si>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</si>
  <si>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</si>
  <si>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Standardisation of the Volumetric Solutions</t>
  </si>
  <si>
    <t>Volumetric Solution:</t>
  </si>
  <si>
    <t>Each mL of</t>
  </si>
  <si>
    <t>is equivalent to</t>
  </si>
  <si>
    <t>If correction for water content is NOT needed, enter 0</t>
  </si>
  <si>
    <t>Desired Concetration (mg/mL):</t>
  </si>
  <si>
    <t>Initial Sample dilution (mL):</t>
  </si>
  <si>
    <t>Initial    Standard dilution (mL):</t>
  </si>
  <si>
    <t>Each Vial contains</t>
  </si>
  <si>
    <t>Average Vial Content Weight (mg):</t>
  </si>
  <si>
    <t>Sample Weight (mg)</t>
  </si>
  <si>
    <t>Uniformity of Weight Test Report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</si>
  <si>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</si>
  <si>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</si>
  <si>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</si>
  <si>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</si>
  <si>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</si>
  <si>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</si>
  <si>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</si>
  <si>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</si>
  <si>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</si>
  <si>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Artesunate</t>
  </si>
  <si>
    <t>A15-4</t>
  </si>
  <si>
    <t>ARTESUNATE</t>
  </si>
  <si>
    <t>RUTTO KENNEDY</t>
  </si>
  <si>
    <t>Sodium Bicarbonate</t>
  </si>
  <si>
    <t>SODIUM CARBONATE</t>
  </si>
  <si>
    <t xml:space="preserve"> </t>
  </si>
  <si>
    <t>Weight/Volume (mg/mL)</t>
  </si>
  <si>
    <t>0.5 M Hydrochloric Acid VS</t>
  </si>
  <si>
    <t>Each 1 mL contains 9 mg Sodium Chloride</t>
  </si>
  <si>
    <t>Each vial contains: Artesunate 60 mg. The combi pack contains 1 mL ampoule of Sodium Bicarbonate Injection 5% and 5ml ampoule Sodium Chloride injection</t>
  </si>
  <si>
    <t>Each vial contains 6omg Artesunate,The combi pack contains 1ml ampoule of Sodium Bicarbonate injection and 5ml ampoule Sodium Chloride injection.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</si>
</sst>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0\ &quot;M&quot;"/>
    <numFmt numFmtId="172" formatCode="0\ &quot;mL&quot;"/>
    <numFmt numFmtId="173" formatCode="0\ &quot;mg&quot;"/>
    <numFmt numFmtId="174" formatCode="0.000\ &quot;mg&quot;"/>
    <numFmt numFmtId="175" formatCode="0.00\ &quot;mg&quot;"/>
    <numFmt numFmtId="176" formatCode="General\ &quot;VS&quot;"/>
    <numFmt numFmtId="177" formatCode="0.0\ &quot;mL&quot;"/>
    <numFmt numFmtId="178" formatCode="0.0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9" fillId="2" borderId="0"/>
    <xf numFmtId="0" fontId="23" fillId="2" borderId="0"/>
    <xf numFmtId="0" fontId="19" fillId="2" borderId="0"/>
  </cellStyleXfs>
  <cellXfs count="5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3" borderId="0" xfId="0" applyFont="1" applyFill="1" applyProtection="1">
      <protection locked="0"/>
    </xf>
    <xf numFmtId="0" fontId="15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167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14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locked="0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7" fontId="8" fillId="3" borderId="0" xfId="0" applyNumberFormat="1" applyFont="1" applyFill="1" applyAlignment="1" applyProtection="1">
      <alignment horizontal="left" vertical="center"/>
      <protection locked="0"/>
    </xf>
    <xf numFmtId="2" fontId="8" fillId="2" borderId="52" xfId="0" applyNumberFormat="1" applyFont="1" applyFill="1" applyBorder="1"/>
    <xf numFmtId="2" fontId="8" fillId="8" borderId="52" xfId="0" applyNumberFormat="1" applyFont="1" applyFill="1" applyBorder="1"/>
    <xf numFmtId="164" fontId="8" fillId="8" borderId="52" xfId="0" applyNumberFormat="1" applyFont="1" applyFill="1" applyBorder="1"/>
    <xf numFmtId="0" fontId="8" fillId="2" borderId="0" xfId="0" applyFont="1" applyFill="1" applyAlignment="1">
      <alignment vertical="center"/>
    </xf>
    <xf numFmtId="2" fontId="8" fillId="2" borderId="53" xfId="0" applyNumberFormat="1" applyFont="1" applyFill="1" applyBorder="1"/>
    <xf numFmtId="0" fontId="15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/>
    <xf numFmtId="0" fontId="8" fillId="2" borderId="27" xfId="0" applyFont="1" applyFill="1" applyBorder="1" applyAlignment="1">
      <alignment horizontal="right"/>
    </xf>
    <xf numFmtId="0" fontId="8" fillId="2" borderId="38" xfId="0" applyFont="1" applyFill="1" applyBorder="1" applyAlignment="1">
      <alignment horizontal="right"/>
    </xf>
    <xf numFmtId="10" fontId="8" fillId="6" borderId="36" xfId="0" applyNumberFormat="1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8" fillId="7" borderId="37" xfId="0" applyFont="1" applyFill="1" applyBorder="1" applyAlignment="1">
      <alignment horizontal="center"/>
    </xf>
    <xf numFmtId="164" fontId="9" fillId="7" borderId="35" xfId="0" applyNumberFormat="1" applyFont="1" applyFill="1" applyBorder="1" applyAlignment="1">
      <alignment horizontal="center"/>
    </xf>
    <xf numFmtId="0" fontId="8" fillId="2" borderId="0" xfId="0" applyFont="1" applyFill="1"/>
    <xf numFmtId="2" fontId="9" fillId="2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Continuous"/>
    </xf>
    <xf numFmtId="0" fontId="8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right"/>
    </xf>
    <xf numFmtId="2" fontId="10" fillId="3" borderId="35" xfId="0" applyNumberFormat="1" applyFont="1" applyFill="1" applyBorder="1" applyAlignment="1" applyProtection="1">
      <alignment horizontal="center"/>
      <protection locked="0"/>
    </xf>
    <xf numFmtId="2" fontId="10" fillId="3" borderId="36" xfId="0" applyNumberFormat="1" applyFont="1" applyFill="1" applyBorder="1" applyAlignment="1" applyProtection="1">
      <alignment horizontal="center"/>
      <protection locked="0"/>
    </xf>
    <xf numFmtId="2" fontId="10" fillId="3" borderId="37" xfId="0" applyNumberFormat="1" applyFont="1" applyFill="1" applyBorder="1" applyAlignment="1" applyProtection="1">
      <alignment horizontal="center"/>
      <protection locked="0"/>
    </xf>
    <xf numFmtId="2" fontId="9" fillId="2" borderId="10" xfId="0" applyNumberFormat="1" applyFont="1" applyFill="1" applyBorder="1" applyAlignment="1">
      <alignment horizontal="center" vertical="center"/>
    </xf>
    <xf numFmtId="170" fontId="8" fillId="2" borderId="34" xfId="0" applyNumberFormat="1" applyFont="1" applyFill="1" applyBorder="1" applyAlignment="1">
      <alignment horizontal="center"/>
    </xf>
    <xf numFmtId="170" fontId="8" fillId="2" borderId="11" xfId="0" applyNumberFormat="1" applyFont="1" applyFill="1" applyBorder="1" applyAlignment="1">
      <alignment horizontal="center"/>
    </xf>
    <xf numFmtId="170" fontId="8" fillId="2" borderId="55" xfId="0" applyNumberFormat="1" applyFont="1" applyFill="1" applyBorder="1" applyAlignment="1">
      <alignment horizontal="center"/>
    </xf>
    <xf numFmtId="2" fontId="9" fillId="2" borderId="13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 applyProtection="1">
      <alignment horizontal="center"/>
      <protection locked="0"/>
    </xf>
    <xf numFmtId="2" fontId="10" fillId="3" borderId="0" xfId="0" applyNumberFormat="1" applyFont="1" applyFill="1" applyAlignment="1" applyProtection="1">
      <alignment horizontal="left"/>
      <protection locked="0"/>
    </xf>
    <xf numFmtId="2" fontId="9" fillId="2" borderId="13" xfId="0" applyNumberFormat="1" applyFont="1" applyFill="1" applyBorder="1" applyAlignment="1">
      <alignment horizontal="center" vertical="center"/>
    </xf>
    <xf numFmtId="2" fontId="9" fillId="2" borderId="19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8" fillId="2" borderId="44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2" fontId="10" fillId="3" borderId="44" xfId="0" applyNumberFormat="1" applyFont="1" applyFill="1" applyBorder="1" applyAlignment="1" applyProtection="1">
      <alignment horizontal="center"/>
      <protection locked="0"/>
    </xf>
    <xf numFmtId="2" fontId="10" fillId="3" borderId="38" xfId="0" applyNumberFormat="1" applyFont="1" applyFill="1" applyBorder="1" applyAlignment="1" applyProtection="1">
      <alignment horizontal="center"/>
      <protection locked="0"/>
    </xf>
    <xf numFmtId="2" fontId="10" fillId="3" borderId="54" xfId="0" applyNumberFormat="1" applyFont="1" applyFill="1" applyBorder="1" applyAlignment="1" applyProtection="1">
      <alignment horizontal="center"/>
      <protection locked="0"/>
    </xf>
    <xf numFmtId="170" fontId="9" fillId="7" borderId="42" xfId="0" applyNumberFormat="1" applyFont="1" applyFill="1" applyBorder="1" applyAlignment="1">
      <alignment horizontal="center"/>
    </xf>
    <xf numFmtId="2" fontId="10" fillId="3" borderId="46" xfId="0" applyNumberFormat="1" applyFont="1" applyFill="1" applyBorder="1" applyAlignment="1" applyProtection="1">
      <alignment horizontal="center"/>
      <protection locked="0"/>
    </xf>
    <xf numFmtId="2" fontId="10" fillId="3" borderId="18" xfId="0" applyNumberFormat="1" applyFont="1" applyFill="1" applyBorder="1" applyAlignment="1" applyProtection="1">
      <alignment horizontal="center"/>
      <protection locked="0"/>
    </xf>
    <xf numFmtId="2" fontId="10" fillId="3" borderId="56" xfId="0" applyNumberFormat="1" applyFont="1" applyFill="1" applyBorder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right"/>
    </xf>
    <xf numFmtId="10" fontId="11" fillId="6" borderId="36" xfId="0" applyNumberFormat="1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 vertical="center"/>
    </xf>
    <xf numFmtId="2" fontId="10" fillId="7" borderId="42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170" fontId="8" fillId="2" borderId="35" xfId="0" applyNumberFormat="1" applyFont="1" applyFill="1" applyBorder="1" applyAlignment="1">
      <alignment horizontal="center" vertical="center"/>
    </xf>
    <xf numFmtId="170" fontId="8" fillId="2" borderId="36" xfId="0" applyNumberFormat="1" applyFont="1" applyFill="1" applyBorder="1" applyAlignment="1">
      <alignment horizontal="center" vertical="center"/>
    </xf>
    <xf numFmtId="170" fontId="8" fillId="2" borderId="37" xfId="0" applyNumberFormat="1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71" fontId="10" fillId="3" borderId="0" xfId="0" applyNumberFormat="1" applyFont="1" applyFill="1" applyAlignment="1" applyProtection="1">
      <alignment horizontal="center"/>
      <protection locked="0"/>
    </xf>
    <xf numFmtId="164" fontId="8" fillId="2" borderId="34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55" xfId="0" applyNumberFormat="1" applyFont="1" applyFill="1" applyBorder="1" applyAlignment="1">
      <alignment horizontal="center"/>
    </xf>
    <xf numFmtId="164" fontId="8" fillId="2" borderId="35" xfId="0" applyNumberFormat="1" applyFont="1" applyFill="1" applyBorder="1" applyAlignment="1">
      <alignment horizontal="center"/>
    </xf>
    <xf numFmtId="164" fontId="8" fillId="2" borderId="36" xfId="0" applyNumberFormat="1" applyFont="1" applyFill="1" applyBorder="1" applyAlignment="1">
      <alignment horizontal="center"/>
    </xf>
    <xf numFmtId="164" fontId="8" fillId="2" borderId="37" xfId="0" applyNumberFormat="1" applyFont="1" applyFill="1" applyBorder="1" applyAlignment="1">
      <alignment horizontal="center"/>
    </xf>
    <xf numFmtId="2" fontId="8" fillId="2" borderId="57" xfId="0" applyNumberFormat="1" applyFont="1" applyFill="1" applyBorder="1"/>
    <xf numFmtId="10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35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/>
    </xf>
    <xf numFmtId="2" fontId="8" fillId="2" borderId="48" xfId="0" applyNumberFormat="1" applyFont="1" applyFill="1" applyBorder="1" applyAlignment="1">
      <alignment horizontal="center"/>
    </xf>
    <xf numFmtId="2" fontId="8" fillId="2" borderId="47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8" fillId="2" borderId="35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/>
    </xf>
    <xf numFmtId="10" fontId="10" fillId="7" borderId="42" xfId="0" applyNumberFormat="1" applyFont="1" applyFill="1" applyBorder="1" applyAlignment="1">
      <alignment horizontal="center"/>
    </xf>
    <xf numFmtId="2" fontId="8" fillId="2" borderId="55" xfId="0" applyNumberFormat="1" applyFont="1" applyFill="1" applyBorder="1" applyAlignment="1">
      <alignment horizontal="center"/>
    </xf>
    <xf numFmtId="170" fontId="9" fillId="7" borderId="19" xfId="0" applyNumberFormat="1" applyFont="1" applyFill="1" applyBorder="1" applyAlignment="1">
      <alignment horizontal="center"/>
    </xf>
    <xf numFmtId="10" fontId="9" fillId="7" borderId="41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9" fontId="10" fillId="3" borderId="35" xfId="0" applyNumberFormat="1" applyFont="1" applyFill="1" applyBorder="1" applyAlignment="1" applyProtection="1">
      <alignment horizontal="center"/>
      <protection locked="0"/>
    </xf>
    <xf numFmtId="169" fontId="10" fillId="3" borderId="36" xfId="0" applyNumberFormat="1" applyFont="1" applyFill="1" applyBorder="1" applyAlignment="1" applyProtection="1">
      <alignment horizontal="center"/>
      <protection locked="0"/>
    </xf>
    <xf numFmtId="169" fontId="10" fillId="3" borderId="37" xfId="0" applyNumberFormat="1" applyFont="1" applyFill="1" applyBorder="1" applyAlignment="1" applyProtection="1">
      <alignment horizontal="center"/>
      <protection locked="0"/>
    </xf>
    <xf numFmtId="169" fontId="10" fillId="3" borderId="45" xfId="0" applyNumberFormat="1" applyFont="1" applyFill="1" applyBorder="1" applyAlignment="1" applyProtection="1">
      <alignment horizontal="center"/>
      <protection locked="0"/>
    </xf>
    <xf numFmtId="169" fontId="10" fillId="3" borderId="16" xfId="0" applyNumberFormat="1" applyFont="1" applyFill="1" applyBorder="1" applyAlignment="1" applyProtection="1">
      <alignment horizontal="center"/>
      <protection locked="0"/>
    </xf>
    <xf numFmtId="169" fontId="10" fillId="3" borderId="31" xfId="0" applyNumberFormat="1" applyFont="1" applyFill="1" applyBorder="1" applyAlignment="1" applyProtection="1">
      <alignment horizontal="center"/>
      <protection locked="0"/>
    </xf>
    <xf numFmtId="169" fontId="8" fillId="2" borderId="34" xfId="0" applyNumberFormat="1" applyFont="1" applyFill="1" applyBorder="1" applyAlignment="1">
      <alignment horizontal="center" vertical="center"/>
    </xf>
    <xf numFmtId="169" fontId="8" fillId="2" borderId="11" xfId="0" applyNumberFormat="1" applyFont="1" applyFill="1" applyBorder="1" applyAlignment="1">
      <alignment horizontal="center" vertical="center"/>
    </xf>
    <xf numFmtId="2" fontId="10" fillId="7" borderId="27" xfId="0" applyNumberFormat="1" applyFont="1" applyFill="1" applyBorder="1" applyAlignment="1">
      <alignment horizontal="center"/>
    </xf>
    <xf numFmtId="10" fontId="11" fillId="6" borderId="38" xfId="0" applyNumberFormat="1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vertical="center"/>
    </xf>
    <xf numFmtId="172" fontId="10" fillId="3" borderId="0" xfId="0" applyNumberFormat="1" applyFont="1" applyFill="1" applyAlignment="1" applyProtection="1">
      <alignment horizontal="center"/>
      <protection locked="0"/>
    </xf>
    <xf numFmtId="173" fontId="10" fillId="3" borderId="0" xfId="0" applyNumberFormat="1" applyFont="1" applyFill="1" applyAlignment="1" applyProtection="1">
      <alignment horizontal="center"/>
      <protection locked="0"/>
    </xf>
    <xf numFmtId="174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167" fontId="11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14" fillId="2" borderId="0" xfId="0" applyFont="1" applyFill="1"/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10" fillId="3" borderId="36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3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23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40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0" fontId="10" fillId="6" borderId="47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center" wrapText="1"/>
    </xf>
    <xf numFmtId="0" fontId="6" fillId="2" borderId="4" xfId="1" applyFont="1" applyFill="1" applyBorder="1"/>
    <xf numFmtId="166" fontId="2" fillId="2" borderId="0" xfId="1" applyNumberFormat="1" applyFont="1" applyFill="1" applyAlignment="1">
      <alignment horizontal="center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21" fillId="2" borderId="0" xfId="1" applyFont="1" applyFill="1" applyAlignment="1">
      <alignment horizontal="left"/>
    </xf>
    <xf numFmtId="164" fontId="1" fillId="2" borderId="19" xfId="1" applyNumberFormat="1" applyFont="1" applyFill="1" applyBorder="1" applyAlignment="1">
      <alignment horizontal="center"/>
    </xf>
    <xf numFmtId="164" fontId="1" fillId="2" borderId="51" xfId="1" applyNumberFormat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/>
    </xf>
    <xf numFmtId="0" fontId="1" fillId="2" borderId="51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42" xfId="1" applyFont="1" applyFill="1" applyBorder="1" applyAlignment="1">
      <alignment horizontal="center"/>
    </xf>
    <xf numFmtId="2" fontId="2" fillId="3" borderId="26" xfId="1" applyNumberFormat="1" applyFont="1" applyFill="1" applyBorder="1" applyAlignment="1" applyProtection="1">
      <alignment horizontal="center"/>
      <protection locked="0"/>
    </xf>
    <xf numFmtId="2" fontId="2" fillId="3" borderId="42" xfId="1" applyNumberFormat="1" applyFont="1" applyFill="1" applyBorder="1" applyAlignment="1" applyProtection="1">
      <alignment horizontal="center"/>
      <protection locked="0"/>
    </xf>
    <xf numFmtId="2" fontId="2" fillId="2" borderId="42" xfId="1" applyNumberFormat="1" applyFont="1" applyFill="1" applyBorder="1" applyAlignment="1">
      <alignment horizontal="center"/>
    </xf>
    <xf numFmtId="10" fontId="2" fillId="2" borderId="47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2" fontId="2" fillId="3" borderId="47" xfId="1" applyNumberFormat="1" applyFont="1" applyFill="1" applyBorder="1" applyAlignment="1" applyProtection="1">
      <alignment horizontal="center"/>
      <protection locked="0"/>
    </xf>
    <xf numFmtId="2" fontId="2" fillId="3" borderId="36" xfId="1" applyNumberFormat="1" applyFont="1" applyFill="1" applyBorder="1" applyAlignment="1" applyProtection="1">
      <alignment horizontal="center"/>
      <protection locked="0"/>
    </xf>
    <xf numFmtId="2" fontId="2" fillId="2" borderId="36" xfId="1" applyNumberFormat="1" applyFont="1" applyFill="1" applyBorder="1" applyAlignment="1">
      <alignment horizontal="center"/>
    </xf>
    <xf numFmtId="2" fontId="2" fillId="3" borderId="47" xfId="1" applyNumberFormat="1" applyFont="1" applyFill="1" applyBorder="1" applyAlignment="1" applyProtection="1">
      <alignment horizontal="center" wrapText="1"/>
      <protection locked="0"/>
    </xf>
    <xf numFmtId="170" fontId="2" fillId="2" borderId="0" xfId="1" applyNumberFormat="1" applyFont="1" applyFill="1" applyAlignment="1">
      <alignment horizontal="center"/>
    </xf>
    <xf numFmtId="170" fontId="22" fillId="2" borderId="0" xfId="1" applyNumberFormat="1" applyFont="1" applyFill="1" applyAlignment="1">
      <alignment horizontal="center"/>
    </xf>
    <xf numFmtId="10" fontId="22" fillId="2" borderId="0" xfId="1" applyNumberFormat="1" applyFont="1" applyFill="1" applyAlignment="1">
      <alignment horizontal="center"/>
    </xf>
    <xf numFmtId="164" fontId="22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" fillId="2" borderId="37" xfId="1" applyNumberFormat="1" applyFont="1" applyFill="1" applyBorder="1" applyAlignment="1">
      <alignment horizontal="center"/>
    </xf>
    <xf numFmtId="2" fontId="2" fillId="3" borderId="43" xfId="1" applyNumberFormat="1" applyFont="1" applyFill="1" applyBorder="1" applyAlignment="1" applyProtection="1">
      <alignment horizontal="center" wrapText="1"/>
      <protection locked="0"/>
    </xf>
    <xf numFmtId="2" fontId="2" fillId="3" borderId="37" xfId="1" applyNumberFormat="1" applyFont="1" applyFill="1" applyBorder="1" applyAlignment="1" applyProtection="1">
      <alignment horizontal="center"/>
      <protection locked="0"/>
    </xf>
    <xf numFmtId="2" fontId="2" fillId="2" borderId="37" xfId="1" applyNumberFormat="1" applyFont="1" applyFill="1" applyBorder="1" applyAlignment="1">
      <alignment horizontal="center"/>
    </xf>
    <xf numFmtId="10" fontId="2" fillId="2" borderId="43" xfId="1" applyNumberFormat="1" applyFont="1" applyFill="1" applyBorder="1" applyAlignment="1">
      <alignment horizontal="center"/>
    </xf>
    <xf numFmtId="0" fontId="2" fillId="2" borderId="44" xfId="1" applyFont="1" applyFill="1" applyBorder="1" applyAlignment="1">
      <alignment horizontal="right"/>
    </xf>
    <xf numFmtId="170" fontId="2" fillId="2" borderId="45" xfId="1" applyNumberFormat="1" applyFont="1" applyFill="1" applyBorder="1" applyAlignment="1">
      <alignment horizontal="center"/>
    </xf>
    <xf numFmtId="170" fontId="2" fillId="2" borderId="58" xfId="1" applyNumberFormat="1" applyFont="1" applyFill="1" applyBorder="1" applyAlignment="1">
      <alignment horizontal="center"/>
    </xf>
    <xf numFmtId="170" fontId="2" fillId="2" borderId="46" xfId="1" applyNumberFormat="1" applyFont="1" applyFill="1" applyBorder="1" applyAlignment="1">
      <alignment horizontal="center"/>
    </xf>
    <xf numFmtId="0" fontId="2" fillId="2" borderId="54" xfId="1" applyFont="1" applyFill="1" applyBorder="1" applyAlignment="1">
      <alignment horizontal="right"/>
    </xf>
    <xf numFmtId="170" fontId="1" fillId="2" borderId="31" xfId="1" applyNumberFormat="1" applyFont="1" applyFill="1" applyBorder="1" applyAlignment="1">
      <alignment horizontal="center"/>
    </xf>
    <xf numFmtId="170" fontId="1" fillId="2" borderId="59" xfId="1" applyNumberFormat="1" applyFont="1" applyFill="1" applyBorder="1" applyAlignment="1">
      <alignment horizontal="center"/>
    </xf>
    <xf numFmtId="170" fontId="1" fillId="2" borderId="56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19" xfId="1" applyFont="1" applyFill="1" applyBorder="1" applyAlignment="1">
      <alignment horizontal="center" vertical="center"/>
    </xf>
    <xf numFmtId="0" fontId="1" fillId="2" borderId="19" xfId="1" applyFont="1" applyFill="1" applyBorder="1" applyAlignment="1">
      <alignment horizontal="center" wrapText="1"/>
    </xf>
    <xf numFmtId="165" fontId="1" fillId="2" borderId="35" xfId="1" applyNumberFormat="1" applyFont="1" applyFill="1" applyBorder="1" applyAlignment="1">
      <alignment horizontal="center"/>
    </xf>
    <xf numFmtId="175" fontId="1" fillId="2" borderId="48" xfId="1" applyNumberFormat="1" applyFont="1" applyFill="1" applyBorder="1" applyAlignment="1">
      <alignment horizontal="center" vertical="center"/>
    </xf>
    <xf numFmtId="165" fontId="1" fillId="2" borderId="37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right"/>
    </xf>
    <xf numFmtId="10" fontId="2" fillId="2" borderId="5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9" fillId="2" borderId="0" xfId="1" applyFill="1"/>
    <xf numFmtId="0" fontId="25" fillId="2" borderId="0" xfId="2" applyFont="1" applyFill="1"/>
    <xf numFmtId="0" fontId="27" fillId="2" borderId="0" xfId="2" applyFont="1" applyFill="1" applyAlignment="1">
      <alignment horizontal="center"/>
    </xf>
    <xf numFmtId="0" fontId="29" fillId="2" borderId="0" xfId="2" applyFont="1" applyFill="1" applyAlignment="1">
      <alignment vertical="center"/>
    </xf>
    <xf numFmtId="0" fontId="30" fillId="3" borderId="0" xfId="2" applyFont="1" applyFill="1" applyAlignment="1" applyProtection="1">
      <alignment vertical="center"/>
      <protection locked="0"/>
    </xf>
    <xf numFmtId="0" fontId="29" fillId="3" borderId="0" xfId="2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32" fillId="2" borderId="0" xfId="2" applyFont="1" applyFill="1" applyAlignment="1">
      <alignment vertical="center"/>
    </xf>
    <xf numFmtId="167" fontId="11" fillId="3" borderId="0" xfId="3" applyNumberFormat="1" applyFont="1" applyFill="1" applyAlignment="1" applyProtection="1">
      <alignment horizontal="left"/>
      <protection locked="0"/>
    </xf>
    <xf numFmtId="167" fontId="32" fillId="2" borderId="0" xfId="2" applyNumberFormat="1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right" vertical="center"/>
    </xf>
    <xf numFmtId="176" fontId="30" fillId="3" borderId="0" xfId="2" applyNumberFormat="1" applyFont="1" applyFill="1" applyAlignment="1" applyProtection="1">
      <alignment horizontal="left"/>
      <protection locked="0"/>
    </xf>
    <xf numFmtId="2" fontId="30" fillId="3" borderId="0" xfId="2" applyNumberFormat="1" applyFont="1" applyFill="1" applyAlignment="1" applyProtection="1">
      <alignment horizontal="center"/>
      <protection locked="0"/>
    </xf>
    <xf numFmtId="0" fontId="29" fillId="2" borderId="0" xfId="2" applyFont="1" applyFill="1" applyAlignment="1">
      <alignment horizontal="right"/>
    </xf>
    <xf numFmtId="2" fontId="30" fillId="3" borderId="0" xfId="2" applyNumberFormat="1" applyFont="1" applyFill="1" applyAlignment="1" applyProtection="1">
      <alignment horizontal="left"/>
      <protection locked="0"/>
    </xf>
    <xf numFmtId="0" fontId="32" fillId="2" borderId="0" xfId="2" applyFont="1" applyFill="1"/>
    <xf numFmtId="0" fontId="32" fillId="2" borderId="14" xfId="2" applyFont="1" applyFill="1" applyBorder="1" applyAlignment="1">
      <alignment horizontal="right" vertical="center"/>
    </xf>
    <xf numFmtId="2" fontId="30" fillId="2" borderId="0" xfId="2" applyNumberFormat="1" applyFont="1" applyFill="1" applyAlignment="1" applyProtection="1">
      <alignment horizontal="center"/>
      <protection locked="0"/>
    </xf>
    <xf numFmtId="0" fontId="28" fillId="2" borderId="0" xfId="2" applyFont="1" applyFill="1" applyAlignment="1">
      <alignment vertical="center" wrapText="1"/>
    </xf>
    <xf numFmtId="0" fontId="32" fillId="2" borderId="0" xfId="2" applyFont="1" applyFill="1" applyAlignment="1">
      <alignment horizontal="right" vertical="center"/>
    </xf>
    <xf numFmtId="171" fontId="30" fillId="3" borderId="0" xfId="2" applyNumberFormat="1" applyFont="1" applyFill="1" applyAlignment="1" applyProtection="1">
      <alignment horizontal="center"/>
      <protection locked="0"/>
    </xf>
    <xf numFmtId="2" fontId="32" fillId="2" borderId="0" xfId="2" applyNumberFormat="1" applyFont="1" applyFill="1" applyAlignment="1">
      <alignment horizontal="right"/>
    </xf>
    <xf numFmtId="2" fontId="29" fillId="2" borderId="0" xfId="2" applyNumberFormat="1" applyFont="1" applyFill="1" applyAlignment="1">
      <alignment horizontal="centerContinuous"/>
    </xf>
    <xf numFmtId="0" fontId="29" fillId="2" borderId="0" xfId="2" applyFont="1" applyFill="1" applyAlignment="1">
      <alignment horizontal="center" vertical="center"/>
    </xf>
    <xf numFmtId="2" fontId="29" fillId="2" borderId="23" xfId="2" applyNumberFormat="1" applyFont="1" applyFill="1" applyBorder="1" applyAlignment="1">
      <alignment horizontal="center" vertical="center"/>
    </xf>
    <xf numFmtId="2" fontId="29" fillId="2" borderId="10" xfId="2" applyNumberFormat="1" applyFont="1" applyFill="1" applyBorder="1" applyAlignment="1">
      <alignment horizontal="center" vertical="center"/>
    </xf>
    <xf numFmtId="2" fontId="29" fillId="2" borderId="13" xfId="2" applyNumberFormat="1" applyFont="1" applyFill="1" applyBorder="1" applyAlignment="1">
      <alignment horizontal="center" vertical="center"/>
    </xf>
    <xf numFmtId="0" fontId="32" fillId="2" borderId="35" xfId="2" applyFont="1" applyFill="1" applyBorder="1" applyAlignment="1">
      <alignment horizontal="center"/>
    </xf>
    <xf numFmtId="2" fontId="30" fillId="3" borderId="44" xfId="2" applyNumberFormat="1" applyFont="1" applyFill="1" applyBorder="1" applyAlignment="1" applyProtection="1">
      <alignment horizontal="center"/>
      <protection locked="0"/>
    </xf>
    <xf numFmtId="170" fontId="32" fillId="2" borderId="35" xfId="2" applyNumberFormat="1" applyFont="1" applyFill="1" applyBorder="1" applyAlignment="1">
      <alignment horizontal="center"/>
    </xf>
    <xf numFmtId="178" fontId="30" fillId="3" borderId="48" xfId="2" applyNumberFormat="1" applyFont="1" applyFill="1" applyBorder="1" applyAlignment="1" applyProtection="1">
      <alignment horizontal="center"/>
      <protection locked="0"/>
    </xf>
    <xf numFmtId="164" fontId="32" fillId="2" borderId="34" xfId="2" applyNumberFormat="1" applyFont="1" applyFill="1" applyBorder="1" applyAlignment="1">
      <alignment horizontal="center"/>
    </xf>
    <xf numFmtId="10" fontId="32" fillId="2" borderId="44" xfId="2" applyNumberFormat="1" applyFont="1" applyFill="1" applyBorder="1" applyAlignment="1">
      <alignment horizontal="center"/>
    </xf>
    <xf numFmtId="164" fontId="32" fillId="2" borderId="35" xfId="2" applyNumberFormat="1" applyFont="1" applyFill="1" applyBorder="1" applyAlignment="1">
      <alignment horizontal="center"/>
    </xf>
    <xf numFmtId="0" fontId="32" fillId="2" borderId="36" xfId="2" applyFont="1" applyFill="1" applyBorder="1" applyAlignment="1">
      <alignment horizontal="center"/>
    </xf>
    <xf numFmtId="2" fontId="30" fillId="3" borderId="38" xfId="2" applyNumberFormat="1" applyFont="1" applyFill="1" applyBorder="1" applyAlignment="1" applyProtection="1">
      <alignment horizontal="center"/>
      <protection locked="0"/>
    </xf>
    <xf numFmtId="170" fontId="32" fillId="2" borderId="36" xfId="2" applyNumberFormat="1" applyFont="1" applyFill="1" applyBorder="1" applyAlignment="1">
      <alignment horizontal="center"/>
    </xf>
    <xf numFmtId="178" fontId="30" fillId="3" borderId="47" xfId="2" applyNumberFormat="1" applyFont="1" applyFill="1" applyBorder="1" applyAlignment="1" applyProtection="1">
      <alignment horizontal="center"/>
      <protection locked="0"/>
    </xf>
    <xf numFmtId="164" fontId="32" fillId="2" borderId="11" xfId="2" applyNumberFormat="1" applyFont="1" applyFill="1" applyBorder="1" applyAlignment="1">
      <alignment horizontal="center"/>
    </xf>
    <xf numFmtId="10" fontId="32" fillId="2" borderId="38" xfId="2" applyNumberFormat="1" applyFont="1" applyFill="1" applyBorder="1" applyAlignment="1">
      <alignment horizontal="center"/>
    </xf>
    <xf numFmtId="164" fontId="32" fillId="2" borderId="36" xfId="2" applyNumberFormat="1" applyFont="1" applyFill="1" applyBorder="1" applyAlignment="1">
      <alignment horizontal="center"/>
    </xf>
    <xf numFmtId="0" fontId="32" fillId="2" borderId="37" xfId="2" applyFont="1" applyFill="1" applyBorder="1" applyAlignment="1">
      <alignment horizontal="center"/>
    </xf>
    <xf numFmtId="2" fontId="30" fillId="3" borderId="54" xfId="2" applyNumberFormat="1" applyFont="1" applyFill="1" applyBorder="1" applyAlignment="1" applyProtection="1">
      <alignment horizontal="center"/>
      <protection locked="0"/>
    </xf>
    <xf numFmtId="170" fontId="32" fillId="2" borderId="37" xfId="2" applyNumberFormat="1" applyFont="1" applyFill="1" applyBorder="1" applyAlignment="1">
      <alignment horizontal="center"/>
    </xf>
    <xf numFmtId="178" fontId="30" fillId="3" borderId="43" xfId="2" applyNumberFormat="1" applyFont="1" applyFill="1" applyBorder="1" applyAlignment="1" applyProtection="1">
      <alignment horizontal="center"/>
      <protection locked="0"/>
    </xf>
    <xf numFmtId="164" fontId="32" fillId="2" borderId="55" xfId="2" applyNumberFormat="1" applyFont="1" applyFill="1" applyBorder="1" applyAlignment="1">
      <alignment horizontal="center"/>
    </xf>
    <xf numFmtId="10" fontId="32" fillId="2" borderId="54" xfId="2" applyNumberFormat="1" applyFont="1" applyFill="1" applyBorder="1" applyAlignment="1">
      <alignment horizontal="center"/>
    </xf>
    <xf numFmtId="164" fontId="32" fillId="2" borderId="37" xfId="2" applyNumberFormat="1" applyFont="1" applyFill="1" applyBorder="1" applyAlignment="1">
      <alignment horizontal="center"/>
    </xf>
    <xf numFmtId="0" fontId="32" fillId="2" borderId="44" xfId="2" applyFont="1" applyFill="1" applyBorder="1" applyAlignment="1">
      <alignment horizontal="right"/>
    </xf>
    <xf numFmtId="164" fontId="29" fillId="7" borderId="35" xfId="2" applyNumberFormat="1" applyFont="1" applyFill="1" applyBorder="1" applyAlignment="1">
      <alignment horizontal="center"/>
    </xf>
    <xf numFmtId="10" fontId="29" fillId="7" borderId="41" xfId="2" applyNumberFormat="1" applyFont="1" applyFill="1" applyBorder="1" applyAlignment="1">
      <alignment horizontal="center"/>
    </xf>
    <xf numFmtId="170" fontId="29" fillId="7" borderId="30" xfId="2" applyNumberFormat="1" applyFont="1" applyFill="1" applyBorder="1" applyAlignment="1">
      <alignment horizontal="center"/>
    </xf>
    <xf numFmtId="2" fontId="32" fillId="2" borderId="52" xfId="2" applyNumberFormat="1" applyFont="1" applyFill="1" applyBorder="1"/>
    <xf numFmtId="164" fontId="32" fillId="8" borderId="52" xfId="2" applyNumberFormat="1" applyFont="1" applyFill="1" applyBorder="1"/>
    <xf numFmtId="0" fontId="32" fillId="2" borderId="38" xfId="2" applyFont="1" applyFill="1" applyBorder="1" applyAlignment="1">
      <alignment horizontal="right"/>
    </xf>
    <xf numFmtId="10" fontId="32" fillId="6" borderId="36" xfId="2" applyNumberFormat="1" applyFont="1" applyFill="1" applyBorder="1" applyAlignment="1">
      <alignment horizontal="center"/>
    </xf>
    <xf numFmtId="10" fontId="32" fillId="2" borderId="0" xfId="2" applyNumberFormat="1" applyFont="1" applyFill="1" applyAlignment="1">
      <alignment horizontal="center"/>
    </xf>
    <xf numFmtId="0" fontId="32" fillId="2" borderId="54" xfId="2" applyFont="1" applyFill="1" applyBorder="1" applyAlignment="1">
      <alignment horizontal="right"/>
    </xf>
    <xf numFmtId="0" fontId="32" fillId="7" borderId="37" xfId="2" applyFont="1" applyFill="1" applyBorder="1" applyAlignment="1">
      <alignment horizontal="center"/>
    </xf>
    <xf numFmtId="0" fontId="32" fillId="2" borderId="0" xfId="2" applyFont="1" applyFill="1" applyAlignment="1">
      <alignment horizontal="center"/>
    </xf>
    <xf numFmtId="0" fontId="27" fillId="2" borderId="0" xfId="2" applyFont="1" applyFill="1" applyAlignment="1">
      <alignment vertical="center"/>
    </xf>
    <xf numFmtId="177" fontId="29" fillId="3" borderId="0" xfId="2" applyNumberFormat="1" applyFont="1" applyFill="1" applyAlignment="1" applyProtection="1">
      <alignment horizontal="center" vertical="center"/>
      <protection locked="0"/>
    </xf>
    <xf numFmtId="175" fontId="29" fillId="3" borderId="0" xfId="2" applyNumberFormat="1" applyFont="1" applyFill="1" applyAlignment="1" applyProtection="1">
      <alignment horizontal="center" vertical="center"/>
      <protection locked="0"/>
    </xf>
    <xf numFmtId="0" fontId="32" fillId="2" borderId="0" xfId="2" applyFont="1" applyFill="1" applyAlignment="1">
      <alignment horizontal="center" vertical="center"/>
    </xf>
    <xf numFmtId="2" fontId="32" fillId="2" borderId="0" xfId="2" applyNumberFormat="1" applyFont="1" applyFill="1" applyAlignment="1">
      <alignment horizontal="center"/>
    </xf>
    <xf numFmtId="2" fontId="29" fillId="2" borderId="0" xfId="2" applyNumberFormat="1" applyFont="1" applyFill="1" applyAlignment="1">
      <alignment vertical="center"/>
    </xf>
    <xf numFmtId="2" fontId="29" fillId="2" borderId="19" xfId="2" applyNumberFormat="1" applyFont="1" applyFill="1" applyBorder="1" applyAlignment="1">
      <alignment horizontal="center" vertical="center"/>
    </xf>
    <xf numFmtId="2" fontId="29" fillId="2" borderId="12" xfId="2" applyNumberFormat="1" applyFont="1" applyFill="1" applyBorder="1" applyAlignment="1">
      <alignment horizontal="center" vertical="center"/>
    </xf>
    <xf numFmtId="2" fontId="29" fillId="2" borderId="23" xfId="2" applyNumberFormat="1" applyFont="1" applyFill="1" applyBorder="1" applyAlignment="1">
      <alignment vertical="center"/>
    </xf>
    <xf numFmtId="2" fontId="29" fillId="2" borderId="0" xfId="2" applyNumberFormat="1" applyFont="1" applyFill="1" applyAlignment="1">
      <alignment horizontal="center" vertical="center"/>
    </xf>
    <xf numFmtId="0" fontId="32" fillId="2" borderId="44" xfId="2" applyFont="1" applyFill="1" applyBorder="1" applyAlignment="1">
      <alignment horizontal="center"/>
    </xf>
    <xf numFmtId="0" fontId="32" fillId="2" borderId="60" xfId="2" applyFont="1" applyFill="1" applyBorder="1" applyAlignment="1">
      <alignment horizontal="center" vertical="center"/>
    </xf>
    <xf numFmtId="170" fontId="32" fillId="2" borderId="48" xfId="2" applyNumberFormat="1" applyFont="1" applyFill="1" applyBorder="1" applyAlignment="1">
      <alignment horizontal="center" vertical="center"/>
    </xf>
    <xf numFmtId="2" fontId="32" fillId="2" borderId="34" xfId="2" applyNumberFormat="1" applyFont="1" applyFill="1" applyBorder="1" applyAlignment="1">
      <alignment horizontal="center"/>
    </xf>
    <xf numFmtId="2" fontId="32" fillId="2" borderId="44" xfId="2" applyNumberFormat="1" applyFont="1" applyFill="1" applyBorder="1" applyAlignment="1">
      <alignment horizontal="center"/>
    </xf>
    <xf numFmtId="10" fontId="32" fillId="2" borderId="35" xfId="2" applyNumberFormat="1" applyFont="1" applyFill="1" applyBorder="1" applyAlignment="1">
      <alignment horizontal="center"/>
    </xf>
    <xf numFmtId="0" fontId="32" fillId="2" borderId="38" xfId="2" applyFont="1" applyFill="1" applyBorder="1" applyAlignment="1">
      <alignment horizontal="center"/>
    </xf>
    <xf numFmtId="0" fontId="32" fillId="2" borderId="61" xfId="2" applyFont="1" applyFill="1" applyBorder="1" applyAlignment="1">
      <alignment horizontal="center" vertical="center"/>
    </xf>
    <xf numFmtId="170" fontId="32" fillId="2" borderId="47" xfId="2" applyNumberFormat="1" applyFont="1" applyFill="1" applyBorder="1" applyAlignment="1">
      <alignment horizontal="center" vertical="center"/>
    </xf>
    <xf numFmtId="2" fontId="32" fillId="2" borderId="11" xfId="2" applyNumberFormat="1" applyFont="1" applyFill="1" applyBorder="1" applyAlignment="1">
      <alignment horizontal="center"/>
    </xf>
    <xf numFmtId="2" fontId="32" fillId="2" borderId="38" xfId="2" applyNumberFormat="1" applyFont="1" applyFill="1" applyBorder="1" applyAlignment="1">
      <alignment horizontal="center"/>
    </xf>
    <xf numFmtId="10" fontId="32" fillId="2" borderId="36" xfId="2" applyNumberFormat="1" applyFont="1" applyFill="1" applyBorder="1" applyAlignment="1">
      <alignment horizontal="center"/>
    </xf>
    <xf numFmtId="0" fontId="32" fillId="2" borderId="54" xfId="2" applyFont="1" applyFill="1" applyBorder="1" applyAlignment="1">
      <alignment horizontal="center"/>
    </xf>
    <xf numFmtId="0" fontId="32" fillId="2" borderId="62" xfId="2" applyFont="1" applyFill="1" applyBorder="1" applyAlignment="1">
      <alignment horizontal="center" vertical="center"/>
    </xf>
    <xf numFmtId="170" fontId="32" fillId="2" borderId="43" xfId="2" applyNumberFormat="1" applyFont="1" applyFill="1" applyBorder="1" applyAlignment="1">
      <alignment horizontal="center" vertical="center"/>
    </xf>
    <xf numFmtId="2" fontId="32" fillId="2" borderId="55" xfId="2" applyNumberFormat="1" applyFont="1" applyFill="1" applyBorder="1" applyAlignment="1">
      <alignment horizontal="center"/>
    </xf>
    <xf numFmtId="2" fontId="32" fillId="2" borderId="54" xfId="2" applyNumberFormat="1" applyFont="1" applyFill="1" applyBorder="1" applyAlignment="1">
      <alignment horizontal="center"/>
    </xf>
    <xf numFmtId="10" fontId="32" fillId="2" borderId="37" xfId="2" applyNumberFormat="1" applyFont="1" applyFill="1" applyBorder="1" applyAlignment="1">
      <alignment horizontal="center"/>
    </xf>
    <xf numFmtId="0" fontId="32" fillId="2" borderId="27" xfId="2" applyFont="1" applyFill="1" applyBorder="1" applyAlignment="1">
      <alignment horizontal="right"/>
    </xf>
    <xf numFmtId="170" fontId="29" fillId="7" borderId="42" xfId="2" applyNumberFormat="1" applyFont="1" applyFill="1" applyBorder="1" applyAlignment="1">
      <alignment horizontal="center"/>
    </xf>
    <xf numFmtId="2" fontId="30" fillId="7" borderId="42" xfId="2" applyNumberFormat="1" applyFont="1" applyFill="1" applyBorder="1" applyAlignment="1">
      <alignment horizontal="center"/>
    </xf>
    <xf numFmtId="10" fontId="30" fillId="7" borderId="42" xfId="2" applyNumberFormat="1" applyFont="1" applyFill="1" applyBorder="1" applyAlignment="1">
      <alignment horizontal="center"/>
    </xf>
    <xf numFmtId="2" fontId="30" fillId="2" borderId="0" xfId="2" applyNumberFormat="1" applyFont="1" applyFill="1" applyAlignment="1">
      <alignment horizontal="center"/>
    </xf>
    <xf numFmtId="10" fontId="31" fillId="2" borderId="36" xfId="2" applyNumberFormat="1" applyFont="1" applyFill="1" applyBorder="1" applyAlignment="1">
      <alignment horizontal="center"/>
    </xf>
    <xf numFmtId="10" fontId="31" fillId="6" borderId="36" xfId="2" applyNumberFormat="1" applyFont="1" applyFill="1" applyBorder="1" applyAlignment="1">
      <alignment horizontal="center"/>
    </xf>
    <xf numFmtId="10" fontId="31" fillId="2" borderId="0" xfId="2" applyNumberFormat="1" applyFont="1" applyFill="1" applyAlignment="1">
      <alignment horizontal="center"/>
    </xf>
    <xf numFmtId="0" fontId="31" fillId="7" borderId="37" xfId="2" applyFont="1" applyFill="1" applyBorder="1" applyAlignment="1">
      <alignment horizontal="center"/>
    </xf>
    <xf numFmtId="0" fontId="31" fillId="2" borderId="0" xfId="2" applyFont="1" applyFill="1" applyAlignment="1">
      <alignment horizontal="center"/>
    </xf>
    <xf numFmtId="0" fontId="28" fillId="2" borderId="9" xfId="2" applyFont="1" applyFill="1" applyBorder="1" applyAlignment="1">
      <alignment horizontal="left" vertical="center" wrapText="1"/>
    </xf>
    <xf numFmtId="0" fontId="32" fillId="2" borderId="9" xfId="2" applyFont="1" applyFill="1" applyBorder="1" applyAlignment="1">
      <alignment vertical="center"/>
    </xf>
    <xf numFmtId="0" fontId="29" fillId="2" borderId="10" xfId="2" applyFont="1" applyFill="1" applyBorder="1" applyAlignment="1">
      <alignment horizontal="center" vertical="center"/>
    </xf>
    <xf numFmtId="0" fontId="32" fillId="2" borderId="10" xfId="2" applyFont="1" applyFill="1" applyBorder="1" applyAlignment="1">
      <alignment horizontal="center" vertical="center"/>
    </xf>
    <xf numFmtId="0" fontId="32" fillId="2" borderId="7" xfId="2" applyFont="1" applyFill="1" applyBorder="1" applyAlignment="1" applyProtection="1">
      <alignment vertical="center"/>
      <protection locked="0"/>
    </xf>
    <xf numFmtId="0" fontId="32" fillId="2" borderId="7" xfId="2" applyFont="1" applyFill="1" applyBorder="1" applyAlignment="1">
      <alignment vertical="center"/>
    </xf>
    <xf numFmtId="0" fontId="29" fillId="2" borderId="11" xfId="2" applyFont="1" applyFill="1" applyBorder="1" applyAlignment="1" applyProtection="1">
      <alignment vertical="center"/>
      <protection locked="0"/>
    </xf>
    <xf numFmtId="0" fontId="29" fillId="2" borderId="11" xfId="2" applyFont="1" applyFill="1" applyBorder="1" applyAlignment="1">
      <alignment vertical="center"/>
    </xf>
    <xf numFmtId="0" fontId="32" fillId="2" borderId="11" xfId="2" applyFont="1" applyFill="1" applyBorder="1" applyAlignment="1">
      <alignment vertical="center"/>
    </xf>
    <xf numFmtId="2" fontId="32" fillId="2" borderId="0" xfId="2" applyNumberFormat="1" applyFont="1" applyFill="1" applyAlignment="1">
      <alignment horizontal="center" vertical="center"/>
    </xf>
    <xf numFmtId="0" fontId="23" fillId="2" borderId="0" xfId="2" applyFill="1"/>
    <xf numFmtId="14" fontId="32" fillId="2" borderId="7" xfId="2" applyNumberFormat="1" applyFont="1" applyFill="1" applyBorder="1" applyAlignment="1">
      <alignment vertical="center"/>
    </xf>
    <xf numFmtId="14" fontId="2" fillId="2" borderId="7" xfId="0" applyNumberFormat="1" applyFont="1" applyFill="1" applyBorder="1"/>
    <xf numFmtId="14" fontId="2" fillId="2" borderId="7" xfId="1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1" fillId="2" borderId="0" xfId="1" applyFont="1" applyFill="1" applyAlignment="1">
      <alignment horizontal="center"/>
    </xf>
    <xf numFmtId="168" fontId="1" fillId="2" borderId="23" xfId="1" applyNumberFormat="1" applyFont="1" applyFill="1" applyBorder="1" applyAlignment="1">
      <alignment horizontal="center" vertical="center"/>
    </xf>
    <xf numFmtId="168" fontId="1" fillId="2" borderId="30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2" fillId="2" borderId="0" xfId="1" applyFont="1" applyFill="1" applyAlignment="1">
      <alignment horizontal="left" wrapText="1"/>
    </xf>
    <xf numFmtId="0" fontId="10" fillId="3" borderId="0" xfId="0" applyFont="1" applyFill="1" applyAlignment="1" applyProtection="1">
      <alignment horizontal="left" wrapText="1"/>
      <protection locked="0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2" borderId="49" xfId="0" applyFont="1" applyFill="1" applyBorder="1" applyAlignment="1">
      <alignment horizontal="center"/>
    </xf>
    <xf numFmtId="0" fontId="15" fillId="2" borderId="50" xfId="0" applyFont="1" applyFill="1" applyBorder="1" applyAlignment="1">
      <alignment horizontal="center"/>
    </xf>
    <xf numFmtId="0" fontId="15" fillId="2" borderId="51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5" fillId="2" borderId="49" xfId="0" applyFont="1" applyFill="1" applyBorder="1" applyAlignment="1">
      <alignment horizontal="justify" vertical="center" wrapText="1"/>
    </xf>
    <xf numFmtId="0" fontId="15" fillId="2" borderId="50" xfId="0" applyFont="1" applyFill="1" applyBorder="1" applyAlignment="1">
      <alignment horizontal="justify" vertical="center" wrapText="1"/>
    </xf>
    <xf numFmtId="0" fontId="15" fillId="2" borderId="51" xfId="0" applyFont="1" applyFill="1" applyBorder="1" applyAlignment="1">
      <alignment horizontal="justify" vertical="center" wrapText="1"/>
    </xf>
    <xf numFmtId="0" fontId="15" fillId="2" borderId="49" xfId="0" applyFont="1" applyFill="1" applyBorder="1" applyAlignment="1">
      <alignment horizontal="left" vertical="center" wrapText="1"/>
    </xf>
    <xf numFmtId="0" fontId="15" fillId="2" borderId="50" xfId="0" applyFont="1" applyFill="1" applyBorder="1" applyAlignment="1">
      <alignment horizontal="left" vertical="center" wrapText="1"/>
    </xf>
    <xf numFmtId="0" fontId="15" fillId="2" borderId="51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2" fontId="9" fillId="2" borderId="49" xfId="0" applyNumberFormat="1" applyFont="1" applyFill="1" applyBorder="1" applyAlignment="1">
      <alignment horizontal="center" vertical="center"/>
    </xf>
    <xf numFmtId="2" fontId="9" fillId="2" borderId="51" xfId="0" applyNumberFormat="1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6" fillId="2" borderId="0" xfId="2" applyFont="1" applyFill="1" applyAlignment="1">
      <alignment horizontal="center" vertical="center"/>
    </xf>
    <xf numFmtId="0" fontId="28" fillId="2" borderId="49" xfId="2" applyFont="1" applyFill="1" applyBorder="1" applyAlignment="1">
      <alignment horizontal="center" vertical="center"/>
    </xf>
    <xf numFmtId="0" fontId="28" fillId="2" borderId="50" xfId="2" applyFont="1" applyFill="1" applyBorder="1" applyAlignment="1">
      <alignment horizontal="center" vertical="center"/>
    </xf>
    <xf numFmtId="0" fontId="28" fillId="2" borderId="51" xfId="2" applyFont="1" applyFill="1" applyBorder="1" applyAlignment="1">
      <alignment horizontal="center" vertical="center"/>
    </xf>
    <xf numFmtId="0" fontId="27" fillId="2" borderId="10" xfId="2" applyFont="1" applyFill="1" applyBorder="1" applyAlignment="1">
      <alignment horizontal="center" vertical="center"/>
    </xf>
    <xf numFmtId="2" fontId="29" fillId="2" borderId="49" xfId="2" applyNumberFormat="1" applyFont="1" applyFill="1" applyBorder="1" applyAlignment="1">
      <alignment horizontal="center" vertical="center"/>
    </xf>
    <xf numFmtId="2" fontId="29" fillId="2" borderId="51" xfId="2" applyNumberFormat="1" applyFont="1" applyFill="1" applyBorder="1" applyAlignment="1">
      <alignment horizontal="center" vertical="center"/>
    </xf>
    <xf numFmtId="0" fontId="29" fillId="2" borderId="10" xfId="2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3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yfridah/Downloads/NDQA201512643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 3"/>
      <sheetName val="Artesunate 4"/>
      <sheetName val="Artesunate 5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13" sqref="D1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2" t="s">
        <v>0</v>
      </c>
      <c r="B15" s="492"/>
      <c r="C15" s="492"/>
      <c r="D15" s="492"/>
      <c r="E15" s="4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19.31/5</f>
        <v>3.8619999999999997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7687462</v>
      </c>
      <c r="C24" s="18">
        <v>2494.0100000000002</v>
      </c>
      <c r="D24" s="19">
        <v>1.05</v>
      </c>
      <c r="E24" s="20">
        <v>5.33</v>
      </c>
    </row>
    <row r="25" spans="1:6" ht="16.5" customHeight="1" x14ac:dyDescent="0.3">
      <c r="A25" s="17">
        <v>2</v>
      </c>
      <c r="B25" s="18">
        <v>7657023</v>
      </c>
      <c r="C25" s="18">
        <v>2490.58</v>
      </c>
      <c r="D25" s="19">
        <v>1.06</v>
      </c>
      <c r="E25" s="19">
        <v>5.33</v>
      </c>
    </row>
    <row r="26" spans="1:6" ht="16.5" customHeight="1" x14ac:dyDescent="0.3">
      <c r="A26" s="17">
        <v>3</v>
      </c>
      <c r="B26" s="18">
        <v>7593004</v>
      </c>
      <c r="C26" s="18">
        <v>2470.7399999999998</v>
      </c>
      <c r="D26" s="19">
        <v>1.06</v>
      </c>
      <c r="E26" s="19">
        <v>5.33</v>
      </c>
    </row>
    <row r="27" spans="1:6" ht="16.5" customHeight="1" x14ac:dyDescent="0.3">
      <c r="A27" s="17">
        <v>4</v>
      </c>
      <c r="B27" s="18">
        <v>7602827</v>
      </c>
      <c r="C27" s="18">
        <v>2469.86</v>
      </c>
      <c r="D27" s="19">
        <v>1.06</v>
      </c>
      <c r="E27" s="19">
        <v>5.33</v>
      </c>
    </row>
    <row r="28" spans="1:6" ht="16.5" customHeight="1" x14ac:dyDescent="0.3">
      <c r="A28" s="17">
        <v>5</v>
      </c>
      <c r="B28" s="18">
        <v>7602248</v>
      </c>
      <c r="C28" s="18">
        <v>2459.86</v>
      </c>
      <c r="D28" s="19">
        <v>1.06</v>
      </c>
      <c r="E28" s="19">
        <v>5.33</v>
      </c>
    </row>
    <row r="29" spans="1:6" ht="16.5" customHeight="1" x14ac:dyDescent="0.3">
      <c r="A29" s="17">
        <v>6</v>
      </c>
      <c r="B29" s="21">
        <v>7587425</v>
      </c>
      <c r="C29" s="21">
        <v>2445.8200000000002</v>
      </c>
      <c r="D29" s="22">
        <v>1.08</v>
      </c>
      <c r="E29" s="22">
        <v>5.33</v>
      </c>
    </row>
    <row r="30" spans="1:6" ht="16.5" customHeight="1" x14ac:dyDescent="0.3">
      <c r="A30" s="23" t="s">
        <v>16</v>
      </c>
      <c r="B30" s="24">
        <f>AVERAGE(B24:B29)</f>
        <v>7621664.833333333</v>
      </c>
      <c r="C30" s="25">
        <f>AVERAGE(C24:C29)</f>
        <v>2471.811666666667</v>
      </c>
      <c r="D30" s="26">
        <f>AVERAGE(D24:D29)</f>
        <v>1.0616666666666668</v>
      </c>
      <c r="E30" s="26">
        <f>AVERAGE(E24:E29)</f>
        <v>5.3299999999999992</v>
      </c>
    </row>
    <row r="31" spans="1:6" ht="16.5" customHeight="1" x14ac:dyDescent="0.3">
      <c r="A31" s="27" t="s">
        <v>17</v>
      </c>
      <c r="B31" s="28">
        <f>(STDEV(B24:B29)/B30)</f>
        <v>5.3473547530992075E-3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93" t="s">
        <v>24</v>
      </c>
      <c r="C59" s="49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148</v>
      </c>
      <c r="C60" s="48"/>
      <c r="E60" s="490">
        <v>42562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C23" sqref="C23"/>
    </sheetView>
  </sheetViews>
  <sheetFormatPr defaultColWidth="9.140625" defaultRowHeight="16.5" x14ac:dyDescent="0.3"/>
  <cols>
    <col min="1" max="1" width="13.140625" style="324" customWidth="1"/>
    <col min="2" max="2" width="17.85546875" style="370" customWidth="1"/>
    <col min="3" max="3" width="18.85546875" style="324" customWidth="1"/>
    <col min="4" max="4" width="19.7109375" style="322" customWidth="1"/>
    <col min="5" max="5" width="18.42578125" style="324" customWidth="1"/>
    <col min="6" max="6" width="6.42578125" style="319" customWidth="1"/>
    <col min="7" max="7" width="17.140625" style="319" customWidth="1"/>
    <col min="8" max="8" width="13.140625" style="319" customWidth="1"/>
    <col min="9" max="9" width="11" style="319" customWidth="1"/>
    <col min="10" max="10" width="15" style="319" customWidth="1"/>
    <col min="11" max="11" width="7.5703125" style="319" customWidth="1"/>
    <col min="12" max="12" width="13.140625" style="319" customWidth="1"/>
    <col min="13" max="13" width="11" style="319" customWidth="1"/>
    <col min="14" max="14" width="12.28515625" style="319" customWidth="1"/>
    <col min="15" max="15" width="6.5703125" style="319" customWidth="1"/>
    <col min="16" max="16" width="9.140625" style="319"/>
    <col min="17" max="16384" width="9.140625" style="378"/>
  </cols>
  <sheetData>
    <row r="1" spans="1:15" ht="15" x14ac:dyDescent="0.3">
      <c r="A1" s="314"/>
      <c r="B1" s="315"/>
      <c r="C1" s="314"/>
      <c r="D1" s="316"/>
      <c r="E1" s="317"/>
      <c r="F1" s="315"/>
      <c r="G1" s="317"/>
      <c r="H1" s="317"/>
      <c r="I1" s="315"/>
      <c r="J1" s="317"/>
      <c r="K1" s="318"/>
      <c r="L1" s="317"/>
      <c r="M1" s="315"/>
      <c r="N1" s="317"/>
      <c r="O1" s="315"/>
    </row>
    <row r="2" spans="1:15" ht="15" x14ac:dyDescent="0.3">
      <c r="A2" s="314"/>
      <c r="B2" s="315"/>
      <c r="C2" s="314"/>
      <c r="D2" s="316"/>
      <c r="E2" s="320"/>
      <c r="F2" s="315"/>
      <c r="G2" s="320"/>
      <c r="H2" s="320"/>
      <c r="I2" s="315"/>
      <c r="J2" s="320"/>
      <c r="K2" s="318"/>
      <c r="L2" s="320"/>
      <c r="M2" s="318"/>
      <c r="N2" s="320"/>
      <c r="O2" s="318"/>
    </row>
    <row r="3" spans="1:15" ht="15" x14ac:dyDescent="0.3">
      <c r="A3" s="314"/>
      <c r="B3" s="315"/>
      <c r="C3" s="314"/>
      <c r="D3" s="316"/>
      <c r="E3" s="320"/>
      <c r="F3" s="315"/>
      <c r="G3" s="320"/>
      <c r="H3" s="320"/>
      <c r="I3" s="315"/>
      <c r="J3" s="320"/>
      <c r="K3" s="318"/>
      <c r="L3" s="320"/>
      <c r="M3" s="318"/>
      <c r="N3" s="320"/>
      <c r="O3" s="318"/>
    </row>
    <row r="4" spans="1:15" ht="15" x14ac:dyDescent="0.3">
      <c r="A4" s="314"/>
      <c r="B4" s="315"/>
      <c r="C4" s="314"/>
      <c r="D4" s="316"/>
      <c r="E4" s="320"/>
      <c r="F4" s="315"/>
      <c r="G4" s="320"/>
      <c r="H4" s="320"/>
      <c r="I4" s="315"/>
      <c r="J4" s="320"/>
      <c r="K4" s="318"/>
      <c r="L4" s="320"/>
      <c r="M4" s="318"/>
      <c r="N4" s="320"/>
      <c r="O4" s="318"/>
    </row>
    <row r="5" spans="1:15" ht="15" x14ac:dyDescent="0.3">
      <c r="A5" s="314"/>
      <c r="B5" s="315"/>
      <c r="C5" s="314"/>
      <c r="D5" s="316"/>
      <c r="E5" s="320"/>
      <c r="F5" s="315"/>
      <c r="G5" s="320"/>
      <c r="H5" s="320"/>
      <c r="I5" s="315"/>
      <c r="J5" s="320"/>
      <c r="K5" s="318"/>
      <c r="L5" s="320"/>
      <c r="M5" s="318"/>
      <c r="N5" s="320"/>
      <c r="O5" s="318"/>
    </row>
    <row r="6" spans="1:15" ht="15" x14ac:dyDescent="0.3">
      <c r="A6" s="314"/>
      <c r="B6" s="315"/>
      <c r="C6" s="314"/>
      <c r="D6" s="316"/>
      <c r="E6" s="320"/>
      <c r="F6" s="315"/>
      <c r="G6" s="320"/>
      <c r="H6" s="320"/>
      <c r="I6" s="315"/>
      <c r="J6" s="320"/>
      <c r="K6" s="318"/>
      <c r="L6" s="320"/>
      <c r="M6" s="318"/>
      <c r="N6" s="320"/>
      <c r="O6" s="318"/>
    </row>
    <row r="7" spans="1:15" ht="15" x14ac:dyDescent="0.3">
      <c r="A7" s="314"/>
      <c r="B7" s="315"/>
      <c r="C7" s="314"/>
      <c r="D7" s="316"/>
      <c r="E7" s="320"/>
      <c r="F7" s="315"/>
      <c r="G7" s="320"/>
      <c r="H7" s="320"/>
      <c r="I7" s="315"/>
      <c r="J7" s="320"/>
      <c r="K7" s="318"/>
      <c r="L7" s="320"/>
      <c r="M7" s="318"/>
      <c r="N7" s="320"/>
      <c r="O7" s="318"/>
    </row>
    <row r="8" spans="1:15" ht="19.5" customHeight="1" x14ac:dyDescent="0.3">
      <c r="A8" s="499" t="s">
        <v>31</v>
      </c>
      <c r="B8" s="499"/>
      <c r="C8" s="499"/>
      <c r="D8" s="499"/>
      <c r="E8" s="499"/>
      <c r="F8" s="499"/>
      <c r="G8" s="499"/>
      <c r="H8" s="320"/>
      <c r="I8" s="315"/>
      <c r="J8" s="320"/>
      <c r="K8" s="318"/>
      <c r="L8" s="320"/>
      <c r="M8" s="318"/>
      <c r="N8" s="320"/>
      <c r="O8" s="318"/>
    </row>
    <row r="9" spans="1:15" ht="19.5" customHeight="1" x14ac:dyDescent="0.3">
      <c r="A9" s="321"/>
      <c r="B9" s="321"/>
      <c r="C9" s="321"/>
      <c r="D9" s="321"/>
      <c r="E9" s="321"/>
      <c r="F9" s="321"/>
      <c r="G9" s="321"/>
      <c r="H9" s="320"/>
      <c r="I9" s="315"/>
      <c r="J9" s="320"/>
      <c r="K9" s="318"/>
      <c r="L9" s="320"/>
      <c r="M9" s="318"/>
      <c r="N9" s="320"/>
      <c r="O9" s="318"/>
    </row>
    <row r="10" spans="1:15" ht="16.5" customHeight="1" x14ac:dyDescent="0.3">
      <c r="A10" s="500" t="s">
        <v>135</v>
      </c>
      <c r="B10" s="500"/>
      <c r="C10" s="500"/>
      <c r="D10" s="500"/>
      <c r="E10" s="500"/>
      <c r="F10" s="500"/>
      <c r="G10" s="500"/>
      <c r="H10" s="320"/>
      <c r="I10" s="315"/>
      <c r="J10" s="320"/>
      <c r="K10" s="318"/>
      <c r="L10" s="320"/>
      <c r="M10" s="318"/>
      <c r="N10" s="320"/>
      <c r="O10" s="318"/>
    </row>
    <row r="11" spans="1:15" ht="15" customHeight="1" x14ac:dyDescent="0.3">
      <c r="A11" s="494" t="s">
        <v>33</v>
      </c>
      <c r="B11" s="494"/>
      <c r="C11" s="314" t="s">
        <v>5</v>
      </c>
      <c r="E11" s="320"/>
      <c r="F11" s="315"/>
      <c r="G11" s="320"/>
      <c r="H11" s="320"/>
      <c r="I11" s="315"/>
      <c r="J11" s="320"/>
      <c r="K11" s="318"/>
      <c r="L11" s="320"/>
      <c r="M11" s="318"/>
      <c r="N11" s="320"/>
      <c r="O11" s="318"/>
    </row>
    <row r="12" spans="1:15" ht="15" customHeight="1" x14ac:dyDescent="0.3">
      <c r="A12" s="494" t="s">
        <v>34</v>
      </c>
      <c r="B12" s="494"/>
      <c r="C12" s="314" t="s">
        <v>7</v>
      </c>
      <c r="E12" s="320"/>
      <c r="F12" s="315"/>
      <c r="G12" s="320"/>
      <c r="H12" s="320"/>
      <c r="I12" s="315"/>
      <c r="J12" s="320"/>
      <c r="K12" s="318"/>
      <c r="L12" s="320"/>
      <c r="M12" s="318"/>
      <c r="N12" s="320"/>
      <c r="O12" s="318"/>
    </row>
    <row r="13" spans="1:15" ht="15" customHeight="1" x14ac:dyDescent="0.3">
      <c r="A13" s="494" t="s">
        <v>35</v>
      </c>
      <c r="B13" s="494"/>
      <c r="C13" s="314" t="s">
        <v>147</v>
      </c>
      <c r="E13" s="320"/>
      <c r="F13" s="315"/>
      <c r="G13" s="320"/>
      <c r="H13" s="320"/>
      <c r="I13" s="315"/>
      <c r="J13" s="320"/>
      <c r="K13" s="318"/>
      <c r="L13" s="320"/>
      <c r="M13" s="318"/>
      <c r="N13" s="320"/>
      <c r="O13" s="318"/>
    </row>
    <row r="14" spans="1:15" ht="15" customHeight="1" x14ac:dyDescent="0.3">
      <c r="A14" s="494" t="s">
        <v>36</v>
      </c>
      <c r="B14" s="494"/>
      <c r="C14" s="501" t="s">
        <v>156</v>
      </c>
      <c r="D14" s="501"/>
      <c r="E14" s="501"/>
      <c r="F14" s="501"/>
      <c r="G14" s="501"/>
      <c r="H14" s="320"/>
      <c r="I14" s="315"/>
      <c r="J14" s="320"/>
      <c r="K14" s="318"/>
      <c r="L14" s="320"/>
      <c r="M14" s="318"/>
      <c r="N14" s="320"/>
      <c r="O14" s="318"/>
    </row>
    <row r="15" spans="1:15" ht="15" customHeight="1" x14ac:dyDescent="0.3">
      <c r="A15" s="494" t="s">
        <v>37</v>
      </c>
      <c r="B15" s="494"/>
      <c r="C15" s="323">
        <v>42679</v>
      </c>
      <c r="D15" s="314"/>
      <c r="E15" s="320"/>
      <c r="F15" s="315"/>
      <c r="G15" s="320"/>
      <c r="H15" s="320"/>
      <c r="I15" s="315"/>
      <c r="J15" s="320"/>
      <c r="K15" s="318"/>
      <c r="L15" s="320"/>
      <c r="M15" s="318"/>
      <c r="N15" s="320"/>
      <c r="O15" s="318"/>
    </row>
    <row r="16" spans="1:15" ht="15" customHeight="1" x14ac:dyDescent="0.3">
      <c r="A16" s="494" t="s">
        <v>38</v>
      </c>
      <c r="B16" s="494"/>
      <c r="C16" s="323">
        <v>42681</v>
      </c>
      <c r="D16" s="314"/>
      <c r="E16" s="320"/>
      <c r="F16" s="315"/>
      <c r="G16" s="320"/>
      <c r="H16" s="320"/>
      <c r="I16" s="315"/>
      <c r="J16" s="320"/>
      <c r="K16" s="318"/>
      <c r="L16" s="320"/>
      <c r="M16" s="318"/>
      <c r="N16" s="320"/>
      <c r="O16" s="318"/>
    </row>
    <row r="17" spans="1:15" x14ac:dyDescent="0.3">
      <c r="B17" s="314"/>
      <c r="D17" s="314"/>
      <c r="E17" s="320"/>
      <c r="F17" s="315"/>
      <c r="G17" s="320"/>
      <c r="H17" s="320"/>
      <c r="I17" s="315"/>
      <c r="J17" s="320"/>
      <c r="K17" s="318"/>
      <c r="L17" s="320"/>
      <c r="M17" s="318"/>
      <c r="N17" s="320"/>
      <c r="O17" s="318"/>
    </row>
    <row r="18" spans="1:15" ht="15" customHeight="1" x14ac:dyDescent="0.3">
      <c r="A18" s="495" t="s">
        <v>1</v>
      </c>
      <c r="B18" s="495"/>
      <c r="C18" s="325" t="s">
        <v>136</v>
      </c>
      <c r="D18" s="314"/>
      <c r="E18" s="320"/>
      <c r="F18" s="315"/>
      <c r="G18" s="320"/>
      <c r="H18" s="320"/>
      <c r="I18" s="315"/>
      <c r="J18" s="320"/>
      <c r="K18" s="318"/>
      <c r="L18" s="320"/>
      <c r="M18" s="318"/>
      <c r="N18" s="320"/>
      <c r="O18" s="318"/>
    </row>
    <row r="19" spans="1:15" ht="15.75" customHeight="1" thickBot="1" x14ac:dyDescent="0.35">
      <c r="A19" s="319"/>
      <c r="B19" s="314"/>
      <c r="D19" s="314"/>
      <c r="E19" s="320"/>
      <c r="F19" s="315"/>
      <c r="G19" s="320"/>
      <c r="H19" s="320"/>
      <c r="I19" s="315"/>
      <c r="J19" s="320"/>
      <c r="K19" s="318"/>
      <c r="L19" s="320"/>
      <c r="M19" s="318"/>
      <c r="N19" s="320"/>
      <c r="O19" s="318"/>
    </row>
    <row r="20" spans="1:15" ht="15.75" customHeight="1" thickBot="1" x14ac:dyDescent="0.35">
      <c r="A20" s="326" t="s">
        <v>137</v>
      </c>
      <c r="B20" s="327" t="s">
        <v>138</v>
      </c>
      <c r="C20" s="328" t="s">
        <v>139</v>
      </c>
      <c r="D20" s="326" t="s">
        <v>140</v>
      </c>
      <c r="E20" s="329" t="s">
        <v>141</v>
      </c>
      <c r="G20" s="320"/>
      <c r="H20" s="330"/>
      <c r="I20" s="315"/>
      <c r="J20" s="320"/>
      <c r="K20" s="318"/>
      <c r="L20" s="330"/>
      <c r="M20" s="318"/>
      <c r="N20" s="330"/>
      <c r="O20" s="318"/>
    </row>
    <row r="21" spans="1:15" ht="15" x14ac:dyDescent="0.3">
      <c r="A21" s="331">
        <v>1</v>
      </c>
      <c r="B21" s="332">
        <v>10442.950000000001</v>
      </c>
      <c r="C21" s="333">
        <v>10386.59</v>
      </c>
      <c r="D21" s="334">
        <f t="shared" ref="D21:D29" si="0">B21-C21</f>
        <v>56.360000000000582</v>
      </c>
      <c r="E21" s="335">
        <f t="shared" ref="E21:E29" si="1">(D21-$D$43)/$D$43</f>
        <v>-3.0912078254543302E-2</v>
      </c>
      <c r="G21" s="320"/>
      <c r="H21" s="330"/>
      <c r="I21" s="315"/>
      <c r="J21" s="320"/>
      <c r="K21" s="318"/>
      <c r="L21" s="330"/>
      <c r="M21" s="318"/>
      <c r="N21" s="330"/>
      <c r="O21" s="318"/>
    </row>
    <row r="22" spans="1:15" ht="15" x14ac:dyDescent="0.3">
      <c r="A22" s="336">
        <v>2</v>
      </c>
      <c r="B22" s="337">
        <v>10478.73</v>
      </c>
      <c r="C22" s="338">
        <v>10419.27</v>
      </c>
      <c r="D22" s="339">
        <f t="shared" si="0"/>
        <v>59.459999999999127</v>
      </c>
      <c r="E22" s="335">
        <f t="shared" si="1"/>
        <v>2.2391196362374272E-2</v>
      </c>
      <c r="G22" s="320"/>
      <c r="H22" s="330"/>
      <c r="I22" s="315"/>
      <c r="J22" s="320"/>
      <c r="K22" s="318"/>
      <c r="L22" s="330"/>
      <c r="M22" s="318"/>
      <c r="N22" s="330"/>
      <c r="O22" s="318"/>
    </row>
    <row r="23" spans="1:15" ht="15" x14ac:dyDescent="0.3">
      <c r="A23" s="336">
        <v>3</v>
      </c>
      <c r="B23" s="337">
        <v>10374.219999999999</v>
      </c>
      <c r="C23" s="338">
        <v>10317.11</v>
      </c>
      <c r="D23" s="339">
        <f t="shared" si="0"/>
        <v>57.109999999998763</v>
      </c>
      <c r="E23" s="335">
        <f t="shared" si="1"/>
        <v>-1.8016124718217501E-2</v>
      </c>
      <c r="G23" s="320"/>
      <c r="H23" s="330"/>
      <c r="I23" s="315"/>
      <c r="J23" s="320"/>
      <c r="K23" s="318"/>
      <c r="L23" s="330"/>
      <c r="M23" s="318"/>
      <c r="N23" s="330"/>
      <c r="O23" s="318"/>
    </row>
    <row r="24" spans="1:15" ht="15" x14ac:dyDescent="0.3">
      <c r="A24" s="336">
        <v>4</v>
      </c>
      <c r="B24" s="337">
        <v>10481.85</v>
      </c>
      <c r="C24" s="338">
        <v>10424.530000000001</v>
      </c>
      <c r="D24" s="339">
        <f t="shared" si="0"/>
        <v>57.319999999999709</v>
      </c>
      <c r="E24" s="335">
        <f t="shared" si="1"/>
        <v>-1.4405257728021254E-2</v>
      </c>
      <c r="G24" s="320"/>
      <c r="H24" s="330"/>
      <c r="I24" s="315"/>
      <c r="J24" s="320"/>
      <c r="K24" s="318"/>
      <c r="L24" s="330"/>
      <c r="M24" s="318"/>
      <c r="N24" s="330"/>
      <c r="O24" s="318"/>
    </row>
    <row r="25" spans="1:15" ht="15" x14ac:dyDescent="0.3">
      <c r="A25" s="336">
        <v>5</v>
      </c>
      <c r="B25" s="337">
        <v>10417.01</v>
      </c>
      <c r="C25" s="338">
        <v>10357.65</v>
      </c>
      <c r="D25" s="339">
        <f t="shared" si="0"/>
        <v>59.360000000000582</v>
      </c>
      <c r="E25" s="335">
        <f t="shared" si="1"/>
        <v>2.0671735890885015E-2</v>
      </c>
      <c r="G25" s="320"/>
      <c r="H25" s="330"/>
      <c r="I25" s="315"/>
      <c r="J25" s="320"/>
      <c r="K25" s="318"/>
      <c r="L25" s="330"/>
      <c r="M25" s="318"/>
      <c r="N25" s="330"/>
      <c r="O25" s="318"/>
    </row>
    <row r="26" spans="1:15" ht="15" x14ac:dyDescent="0.3">
      <c r="A26" s="336">
        <v>6</v>
      </c>
      <c r="B26" s="337">
        <v>10502.65</v>
      </c>
      <c r="C26" s="338">
        <v>10443.48</v>
      </c>
      <c r="D26" s="339">
        <f t="shared" si="0"/>
        <v>59.170000000000073</v>
      </c>
      <c r="E26" s="335">
        <f t="shared" si="1"/>
        <v>1.7404760994999133E-2</v>
      </c>
      <c r="G26" s="320"/>
      <c r="H26" s="330"/>
      <c r="I26" s="315"/>
      <c r="J26" s="320"/>
      <c r="K26" s="318"/>
      <c r="L26" s="330"/>
      <c r="M26" s="318"/>
      <c r="N26" s="330"/>
      <c r="O26" s="318"/>
    </row>
    <row r="27" spans="1:15" ht="15" x14ac:dyDescent="0.3">
      <c r="A27" s="336">
        <v>7</v>
      </c>
      <c r="B27" s="337">
        <v>10525.86</v>
      </c>
      <c r="C27" s="338">
        <v>10467.36</v>
      </c>
      <c r="D27" s="339">
        <f t="shared" si="0"/>
        <v>58.5</v>
      </c>
      <c r="E27" s="335">
        <f t="shared" si="1"/>
        <v>5.8843758358522232E-3</v>
      </c>
      <c r="G27" s="320"/>
      <c r="H27" s="330"/>
      <c r="I27" s="315"/>
      <c r="J27" s="320"/>
      <c r="K27" s="318"/>
      <c r="L27" s="330"/>
      <c r="M27" s="318"/>
      <c r="N27" s="330"/>
      <c r="O27" s="318"/>
    </row>
    <row r="28" spans="1:15" ht="15" x14ac:dyDescent="0.3">
      <c r="A28" s="336">
        <v>8</v>
      </c>
      <c r="B28" s="337">
        <v>10688.59</v>
      </c>
      <c r="C28" s="338">
        <v>10629.98</v>
      </c>
      <c r="D28" s="339">
        <f t="shared" si="0"/>
        <v>58.610000000000582</v>
      </c>
      <c r="E28" s="335">
        <f t="shared" si="1"/>
        <v>7.7757823545279367E-3</v>
      </c>
      <c r="G28" s="320"/>
      <c r="H28" s="330"/>
      <c r="I28" s="315"/>
      <c r="J28" s="320"/>
      <c r="K28" s="318"/>
      <c r="L28" s="330"/>
      <c r="M28" s="318"/>
      <c r="N28" s="330"/>
      <c r="O28" s="318"/>
    </row>
    <row r="29" spans="1:15" ht="15" x14ac:dyDescent="0.3">
      <c r="A29" s="336">
        <v>9</v>
      </c>
      <c r="B29" s="337">
        <v>10513.05</v>
      </c>
      <c r="C29" s="338">
        <v>10455.52</v>
      </c>
      <c r="D29" s="339">
        <f t="shared" si="0"/>
        <v>57.529999999998836</v>
      </c>
      <c r="E29" s="335">
        <f t="shared" si="1"/>
        <v>-1.0794390737856284E-2</v>
      </c>
      <c r="G29" s="320"/>
      <c r="H29" s="330"/>
      <c r="I29" s="315"/>
      <c r="J29" s="320"/>
      <c r="K29" s="318"/>
      <c r="L29" s="330"/>
      <c r="M29" s="318"/>
      <c r="N29" s="330"/>
      <c r="O29" s="318"/>
    </row>
    <row r="30" spans="1:15" ht="15" x14ac:dyDescent="0.3">
      <c r="A30" s="336">
        <v>10</v>
      </c>
      <c r="B30" s="340"/>
      <c r="C30" s="338"/>
      <c r="D30" s="339"/>
      <c r="E30" s="335"/>
      <c r="G30" s="320"/>
      <c r="H30" s="330"/>
      <c r="I30" s="315"/>
      <c r="J30" s="320"/>
      <c r="K30" s="318"/>
      <c r="L30" s="330"/>
      <c r="M30" s="318"/>
      <c r="N30" s="330"/>
      <c r="O30" s="318"/>
    </row>
    <row r="31" spans="1:15" ht="15" x14ac:dyDescent="0.3">
      <c r="A31" s="336">
        <v>11</v>
      </c>
      <c r="B31" s="340"/>
      <c r="C31" s="338"/>
      <c r="D31" s="339"/>
      <c r="E31" s="335"/>
      <c r="G31" s="341"/>
      <c r="H31" s="341"/>
      <c r="I31" s="341"/>
      <c r="J31" s="341"/>
      <c r="K31" s="318"/>
      <c r="L31" s="341"/>
      <c r="M31" s="318"/>
      <c r="N31" s="341"/>
      <c r="O31" s="318"/>
    </row>
    <row r="32" spans="1:15" ht="15" x14ac:dyDescent="0.3">
      <c r="A32" s="336">
        <v>12</v>
      </c>
      <c r="B32" s="340"/>
      <c r="C32" s="338"/>
      <c r="D32" s="339"/>
      <c r="E32" s="335"/>
      <c r="G32" s="341"/>
      <c r="H32" s="341"/>
      <c r="I32" s="341"/>
      <c r="J32" s="341"/>
      <c r="K32" s="318"/>
      <c r="L32" s="341"/>
      <c r="M32" s="341"/>
      <c r="N32" s="341"/>
      <c r="O32" s="341"/>
    </row>
    <row r="33" spans="1:15" ht="15" x14ac:dyDescent="0.3">
      <c r="A33" s="336">
        <v>13</v>
      </c>
      <c r="B33" s="340"/>
      <c r="C33" s="338"/>
      <c r="D33" s="339"/>
      <c r="E33" s="335"/>
      <c r="G33" s="342"/>
      <c r="H33" s="342"/>
      <c r="I33" s="342"/>
      <c r="J33" s="342"/>
      <c r="K33" s="343"/>
      <c r="L33" s="342"/>
      <c r="M33" s="342"/>
      <c r="N33" s="344"/>
      <c r="O33" s="342"/>
    </row>
    <row r="34" spans="1:15" ht="15" x14ac:dyDescent="0.3">
      <c r="A34" s="336">
        <v>14</v>
      </c>
      <c r="B34" s="340"/>
      <c r="C34" s="338"/>
      <c r="D34" s="339"/>
      <c r="E34" s="335"/>
      <c r="G34" s="345"/>
      <c r="H34" s="346"/>
      <c r="I34" s="346"/>
      <c r="J34" s="345"/>
      <c r="K34" s="347"/>
      <c r="L34" s="348"/>
      <c r="M34" s="346"/>
      <c r="N34" s="348"/>
      <c r="O34" s="346"/>
    </row>
    <row r="35" spans="1:15" ht="15" x14ac:dyDescent="0.3">
      <c r="A35" s="336">
        <v>15</v>
      </c>
      <c r="B35" s="340"/>
      <c r="C35" s="338"/>
      <c r="D35" s="339"/>
      <c r="E35" s="335"/>
      <c r="G35" s="345"/>
      <c r="J35" s="345"/>
      <c r="K35" s="347"/>
      <c r="L35" s="348"/>
      <c r="N35" s="348"/>
    </row>
    <row r="36" spans="1:15" ht="15" x14ac:dyDescent="0.3">
      <c r="A36" s="336">
        <v>16</v>
      </c>
      <c r="B36" s="340"/>
      <c r="C36" s="338"/>
      <c r="D36" s="339"/>
      <c r="E36" s="335"/>
      <c r="G36" s="349"/>
      <c r="H36" s="349"/>
    </row>
    <row r="37" spans="1:15" ht="15" x14ac:dyDescent="0.3">
      <c r="A37" s="336">
        <v>17</v>
      </c>
      <c r="B37" s="340"/>
      <c r="C37" s="338"/>
      <c r="D37" s="339"/>
      <c r="E37" s="335"/>
    </row>
    <row r="38" spans="1:15" ht="15" x14ac:dyDescent="0.3">
      <c r="A38" s="336">
        <v>18</v>
      </c>
      <c r="B38" s="340"/>
      <c r="C38" s="338"/>
      <c r="D38" s="339"/>
      <c r="E38" s="335"/>
    </row>
    <row r="39" spans="1:15" ht="15" x14ac:dyDescent="0.3">
      <c r="A39" s="336">
        <v>19</v>
      </c>
      <c r="B39" s="340"/>
      <c r="C39" s="338"/>
      <c r="D39" s="339"/>
      <c r="E39" s="335"/>
    </row>
    <row r="40" spans="1:15" ht="14.25" customHeight="1" thickBot="1" x14ac:dyDescent="0.35">
      <c r="A40" s="350">
        <v>20</v>
      </c>
      <c r="B40" s="351"/>
      <c r="C40" s="352"/>
      <c r="D40" s="353"/>
      <c r="E40" s="354"/>
    </row>
    <row r="41" spans="1:15" ht="14.25" customHeight="1" thickBot="1" x14ac:dyDescent="0.35">
      <c r="B41" s="314"/>
      <c r="D41" s="318"/>
      <c r="G41" s="320"/>
    </row>
    <row r="42" spans="1:15" x14ac:dyDescent="0.3">
      <c r="A42" s="355" t="s">
        <v>142</v>
      </c>
      <c r="B42" s="356">
        <f>SUM(B21:B40)</f>
        <v>94424.91</v>
      </c>
      <c r="C42" s="357">
        <f>SUM(C21:C40)</f>
        <v>93901.49</v>
      </c>
      <c r="D42" s="358">
        <f>SUM(D21:D40)</f>
        <v>523.41999999999825</v>
      </c>
    </row>
    <row r="43" spans="1:15" ht="15.75" customHeight="1" thickBot="1" x14ac:dyDescent="0.35">
      <c r="A43" s="359" t="s">
        <v>143</v>
      </c>
      <c r="B43" s="360">
        <f>AVERAGE(B21:B40)</f>
        <v>10491.656666666668</v>
      </c>
      <c r="C43" s="361">
        <f>AVERAGE(C21:C40)</f>
        <v>10433.498888888889</v>
      </c>
      <c r="D43" s="362">
        <f>AVERAGE(D21:D40)</f>
        <v>58.157777777777582</v>
      </c>
    </row>
    <row r="44" spans="1:15" x14ac:dyDescent="0.3">
      <c r="A44" s="314"/>
      <c r="B44" s="363"/>
      <c r="C44" s="363"/>
      <c r="D44" s="314"/>
    </row>
    <row r="45" spans="1:15" ht="14.25" customHeight="1" thickBot="1" x14ac:dyDescent="0.35">
      <c r="A45" s="314"/>
      <c r="B45" s="314"/>
      <c r="C45" s="314"/>
      <c r="D45" s="314"/>
    </row>
    <row r="46" spans="1:15" ht="30.75" customHeight="1" thickBot="1" x14ac:dyDescent="0.35">
      <c r="B46" s="364" t="s">
        <v>143</v>
      </c>
      <c r="C46" s="365" t="s">
        <v>144</v>
      </c>
    </row>
    <row r="47" spans="1:15" ht="15.75" customHeight="1" thickBot="1" x14ac:dyDescent="0.35">
      <c r="B47" s="496">
        <f>D43</f>
        <v>58.157777777777582</v>
      </c>
      <c r="C47" s="366">
        <f>-(IF(D43&gt;300, 7.5%, 10%))</f>
        <v>-0.1</v>
      </c>
      <c r="D47" s="367">
        <f>IF(D43&lt;300, D43*0.9, D43*0.925)</f>
        <v>52.341999999999828</v>
      </c>
    </row>
    <row r="48" spans="1:15" ht="15.75" customHeight="1" thickBot="1" x14ac:dyDescent="0.35">
      <c r="B48" s="497"/>
      <c r="C48" s="368">
        <f>+(IF(D43&gt;300, 7.5%, 10%))</f>
        <v>0.1</v>
      </c>
      <c r="D48" s="367">
        <f>IF(D43&lt;300, D43*1.1, D43*1.075)</f>
        <v>63.973555555555343</v>
      </c>
    </row>
    <row r="49" spans="1:7" ht="14.25" customHeight="1" thickBot="1" x14ac:dyDescent="0.35">
      <c r="A49" s="369"/>
      <c r="D49" s="371"/>
    </row>
    <row r="50" spans="1:7" ht="15" customHeight="1" x14ac:dyDescent="0.3">
      <c r="B50" s="498" t="s">
        <v>24</v>
      </c>
      <c r="C50" s="498"/>
      <c r="D50" s="314"/>
      <c r="E50" s="372" t="s">
        <v>25</v>
      </c>
      <c r="F50" s="373"/>
      <c r="G50" s="372" t="s">
        <v>26</v>
      </c>
    </row>
    <row r="51" spans="1:7" ht="15" customHeight="1" x14ac:dyDescent="0.3">
      <c r="A51" s="374" t="s">
        <v>27</v>
      </c>
      <c r="B51" s="375" t="s">
        <v>148</v>
      </c>
      <c r="C51" s="375"/>
      <c r="D51" s="314"/>
      <c r="E51" s="491">
        <v>42562</v>
      </c>
      <c r="F51" s="314"/>
      <c r="G51" s="375"/>
    </row>
    <row r="52" spans="1:7" ht="15" customHeight="1" x14ac:dyDescent="0.3">
      <c r="A52" s="374" t="s">
        <v>28</v>
      </c>
      <c r="B52" s="376"/>
      <c r="C52" s="376"/>
      <c r="D52" s="314"/>
      <c r="E52" s="376"/>
      <c r="F52" s="314"/>
      <c r="G52" s="377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5" priority="1" operator="notBetween">
      <formula>IF(+$D$43&lt;300, -10.5%, -7.5%)</formula>
      <formula>IF(+$D$43&lt;300, 10.5%, 7.5%)</formula>
    </cfRule>
  </conditionalFormatting>
  <conditionalFormatting sqref="E22">
    <cfRule type="cellIs" dxfId="34" priority="2" operator="notBetween">
      <formula>IF(+$D$43&lt;300, -10.5%, -7.5%)</formula>
      <formula>IF(+$D$43&lt;300, 10.5%, 7.5%)</formula>
    </cfRule>
  </conditionalFormatting>
  <conditionalFormatting sqref="E23">
    <cfRule type="cellIs" dxfId="33" priority="3" operator="notBetween">
      <formula>IF(+$D$43&lt;300, -10.5%, -7.5%)</formula>
      <formula>IF(+$D$43&lt;300, 10.5%, 7.5%)</formula>
    </cfRule>
  </conditionalFormatting>
  <conditionalFormatting sqref="E24">
    <cfRule type="cellIs" dxfId="32" priority="4" operator="notBetween">
      <formula>IF(+$D$43&lt;300, -10.5%, -7.5%)</formula>
      <formula>IF(+$D$43&lt;300, 10.5%, 7.5%)</formula>
    </cfRule>
  </conditionalFormatting>
  <conditionalFormatting sqref="E25">
    <cfRule type="cellIs" dxfId="31" priority="5" operator="notBetween">
      <formula>IF(+$D$43&lt;300, -10.5%, -7.5%)</formula>
      <formula>IF(+$D$43&lt;300, 10.5%, 7.5%)</formula>
    </cfRule>
  </conditionalFormatting>
  <conditionalFormatting sqref="E26">
    <cfRule type="cellIs" dxfId="30" priority="6" operator="notBetween">
      <formula>IF(+$D$43&lt;300, -10.5%, -7.5%)</formula>
      <formula>IF(+$D$43&lt;300, 10.5%, 7.5%)</formula>
    </cfRule>
  </conditionalFormatting>
  <conditionalFormatting sqref="E27">
    <cfRule type="cellIs" dxfId="29" priority="7" operator="notBetween">
      <formula>IF(+$D$43&lt;300, -10.5%, -7.5%)</formula>
      <formula>IF(+$D$43&lt;300, 10.5%, 7.5%)</formula>
    </cfRule>
  </conditionalFormatting>
  <conditionalFormatting sqref="E28">
    <cfRule type="cellIs" dxfId="28" priority="8" operator="notBetween">
      <formula>IF(+$D$43&lt;300, -10.5%, -7.5%)</formula>
      <formula>IF(+$D$43&lt;300, 10.5%, 7.5%)</formula>
    </cfRule>
  </conditionalFormatting>
  <conditionalFormatting sqref="E29">
    <cfRule type="cellIs" dxfId="27" priority="9" operator="notBetween">
      <formula>IF(+$D$43&lt;300, -10.5%, -7.5%)</formula>
      <formula>IF(+$D$43&lt;300, 10.5%, 7.5%)</formula>
    </cfRule>
  </conditionalFormatting>
  <conditionalFormatting sqref="E30">
    <cfRule type="cellIs" dxfId="26" priority="10" operator="notBetween">
      <formula>IF(+$D$43&lt;300, -10.5%, -7.5%)</formula>
      <formula>IF(+$D$43&lt;300, 10.5%, 7.5%)</formula>
    </cfRule>
  </conditionalFormatting>
  <conditionalFormatting sqref="E31">
    <cfRule type="cellIs" dxfId="25" priority="11" operator="notBetween">
      <formula>IF(+$D$43&lt;300, -10.5%, -7.5%)</formula>
      <formula>IF(+$D$43&lt;300, 10.5%, 7.5%)</formula>
    </cfRule>
  </conditionalFormatting>
  <conditionalFormatting sqref="E32">
    <cfRule type="cellIs" dxfId="24" priority="12" operator="notBetween">
      <formula>IF(+$D$43&lt;300, -10.5%, -7.5%)</formula>
      <formula>IF(+$D$43&lt;300, 10.5%, 7.5%)</formula>
    </cfRule>
  </conditionalFormatting>
  <conditionalFormatting sqref="E33">
    <cfRule type="cellIs" dxfId="23" priority="13" operator="notBetween">
      <formula>IF(+$D$43&lt;300, -10.5%, -7.5%)</formula>
      <formula>IF(+$D$43&lt;300, 10.5%, 7.5%)</formula>
    </cfRule>
  </conditionalFormatting>
  <conditionalFormatting sqref="E34">
    <cfRule type="cellIs" dxfId="22" priority="14" operator="notBetween">
      <formula>IF(+$D$43&lt;300, -10.5%, -7.5%)</formula>
      <formula>IF(+$D$43&lt;300, 10.5%, 7.5%)</formula>
    </cfRule>
  </conditionalFormatting>
  <conditionalFormatting sqref="E35">
    <cfRule type="cellIs" dxfId="21" priority="15" operator="notBetween">
      <formula>IF(+$D$43&lt;300, -10.5%, -7.5%)</formula>
      <formula>IF(+$D$43&lt;300, 10.5%, 7.5%)</formula>
    </cfRule>
  </conditionalFormatting>
  <conditionalFormatting sqref="E36">
    <cfRule type="cellIs" dxfId="20" priority="16" operator="notBetween">
      <formula>IF(+$D$43&lt;300, -10.5%, -7.5%)</formula>
      <formula>IF(+$D$43&lt;300, 10.5%, 7.5%)</formula>
    </cfRule>
  </conditionalFormatting>
  <conditionalFormatting sqref="E37">
    <cfRule type="cellIs" dxfId="19" priority="17" operator="notBetween">
      <formula>IF(+$D$43&lt;300, -10.5%, -7.5%)</formula>
      <formula>IF(+$D$43&lt;300, 10.5%, 7.5%)</formula>
    </cfRule>
  </conditionalFormatting>
  <conditionalFormatting sqref="E38">
    <cfRule type="cellIs" dxfId="18" priority="18" operator="notBetween">
      <formula>IF(+$D$43&lt;300, -10.5%, -7.5%)</formula>
      <formula>IF(+$D$43&lt;300, 10.5%, 7.5%)</formula>
    </cfRule>
  </conditionalFormatting>
  <conditionalFormatting sqref="E39">
    <cfRule type="cellIs" dxfId="17" priority="19" operator="notBetween">
      <formula>IF(+$D$43&lt;300, -10.5%, -7.5%)</formula>
      <formula>IF(+$D$43&lt;300, 10.5%, 7.5%)</formula>
    </cfRule>
  </conditionalFormatting>
  <conditionalFormatting sqref="E40">
    <cfRule type="cellIs" dxfId="1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zoomScale="60" zoomScaleNormal="78" workbookViewId="0">
      <selection activeCell="B39" sqref="B3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516" t="s">
        <v>29</v>
      </c>
      <c r="B1" s="516"/>
      <c r="C1" s="516"/>
      <c r="D1" s="516"/>
      <c r="E1" s="516"/>
      <c r="F1" s="516"/>
      <c r="G1" s="516"/>
      <c r="H1" s="516"/>
    </row>
    <row r="2" spans="1:8" x14ac:dyDescent="0.2">
      <c r="A2" s="516"/>
      <c r="B2" s="516"/>
      <c r="C2" s="516"/>
      <c r="D2" s="516"/>
      <c r="E2" s="516"/>
      <c r="F2" s="516"/>
      <c r="G2" s="516"/>
      <c r="H2" s="516"/>
    </row>
    <row r="3" spans="1:8" x14ac:dyDescent="0.2">
      <c r="A3" s="516"/>
      <c r="B3" s="516"/>
      <c r="C3" s="516"/>
      <c r="D3" s="516"/>
      <c r="E3" s="516"/>
      <c r="F3" s="516"/>
      <c r="G3" s="516"/>
      <c r="H3" s="516"/>
    </row>
    <row r="4" spans="1:8" x14ac:dyDescent="0.2">
      <c r="A4" s="516"/>
      <c r="B4" s="516"/>
      <c r="C4" s="516"/>
      <c r="D4" s="516"/>
      <c r="E4" s="516"/>
      <c r="F4" s="516"/>
      <c r="G4" s="516"/>
      <c r="H4" s="516"/>
    </row>
    <row r="5" spans="1:8" x14ac:dyDescent="0.2">
      <c r="A5" s="516"/>
      <c r="B5" s="516"/>
      <c r="C5" s="516"/>
      <c r="D5" s="516"/>
      <c r="E5" s="516"/>
      <c r="F5" s="516"/>
      <c r="G5" s="516"/>
      <c r="H5" s="516"/>
    </row>
    <row r="6" spans="1:8" x14ac:dyDescent="0.2">
      <c r="A6" s="516"/>
      <c r="B6" s="516"/>
      <c r="C6" s="516"/>
      <c r="D6" s="516"/>
      <c r="E6" s="516"/>
      <c r="F6" s="516"/>
      <c r="G6" s="516"/>
      <c r="H6" s="516"/>
    </row>
    <row r="7" spans="1:8" x14ac:dyDescent="0.2">
      <c r="A7" s="516"/>
      <c r="B7" s="516"/>
      <c r="C7" s="516"/>
      <c r="D7" s="516"/>
      <c r="E7" s="516"/>
      <c r="F7" s="516"/>
      <c r="G7" s="516"/>
      <c r="H7" s="516"/>
    </row>
    <row r="8" spans="1:8" x14ac:dyDescent="0.2">
      <c r="A8" s="517" t="s">
        <v>30</v>
      </c>
      <c r="B8" s="517"/>
      <c r="C8" s="517"/>
      <c r="D8" s="517"/>
      <c r="E8" s="517"/>
      <c r="F8" s="517"/>
      <c r="G8" s="517"/>
      <c r="H8" s="517"/>
    </row>
    <row r="9" spans="1:8" x14ac:dyDescent="0.2">
      <c r="A9" s="517"/>
      <c r="B9" s="517"/>
      <c r="C9" s="517"/>
      <c r="D9" s="517"/>
      <c r="E9" s="517"/>
      <c r="F9" s="517"/>
      <c r="G9" s="517"/>
      <c r="H9" s="517"/>
    </row>
    <row r="10" spans="1:8" x14ac:dyDescent="0.2">
      <c r="A10" s="517"/>
      <c r="B10" s="517"/>
      <c r="C10" s="517"/>
      <c r="D10" s="517"/>
      <c r="E10" s="517"/>
      <c r="F10" s="517"/>
      <c r="G10" s="517"/>
      <c r="H10" s="517"/>
    </row>
    <row r="11" spans="1:8" x14ac:dyDescent="0.2">
      <c r="A11" s="517"/>
      <c r="B11" s="517"/>
      <c r="C11" s="517"/>
      <c r="D11" s="517"/>
      <c r="E11" s="517"/>
      <c r="F11" s="517"/>
      <c r="G11" s="517"/>
      <c r="H11" s="517"/>
    </row>
    <row r="12" spans="1:8" x14ac:dyDescent="0.2">
      <c r="A12" s="517"/>
      <c r="B12" s="517"/>
      <c r="C12" s="517"/>
      <c r="D12" s="517"/>
      <c r="E12" s="517"/>
      <c r="F12" s="517"/>
      <c r="G12" s="517"/>
      <c r="H12" s="517"/>
    </row>
    <row r="13" spans="1:8" x14ac:dyDescent="0.2">
      <c r="A13" s="517"/>
      <c r="B13" s="517"/>
      <c r="C13" s="517"/>
      <c r="D13" s="517"/>
      <c r="E13" s="517"/>
      <c r="F13" s="517"/>
      <c r="G13" s="517"/>
      <c r="H13" s="517"/>
    </row>
    <row r="14" spans="1:8" x14ac:dyDescent="0.2">
      <c r="A14" s="517"/>
      <c r="B14" s="517"/>
      <c r="C14" s="517"/>
      <c r="D14" s="517"/>
      <c r="E14" s="517"/>
      <c r="F14" s="517"/>
      <c r="G14" s="517"/>
      <c r="H14" s="517"/>
    </row>
    <row r="15" spans="1:8" ht="19.5" customHeight="1" x14ac:dyDescent="0.3">
      <c r="A15" s="196"/>
      <c r="B15" s="196"/>
      <c r="C15" s="196"/>
      <c r="D15" s="196"/>
      <c r="E15" s="196"/>
      <c r="F15" s="196"/>
      <c r="G15" s="196"/>
      <c r="H15" s="196"/>
    </row>
    <row r="16" spans="1:8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8" ht="18.75" customHeight="1" x14ac:dyDescent="0.3">
      <c r="A17" s="197" t="s">
        <v>32</v>
      </c>
      <c r="B17" s="197"/>
      <c r="C17" s="196"/>
      <c r="D17" s="196"/>
      <c r="E17" s="196"/>
      <c r="F17" s="196"/>
      <c r="G17" s="196"/>
      <c r="H17" s="196"/>
    </row>
    <row r="18" spans="1:8" ht="26.25" customHeight="1" x14ac:dyDescent="0.4">
      <c r="A18" s="198" t="s">
        <v>33</v>
      </c>
      <c r="B18" s="502" t="s">
        <v>5</v>
      </c>
      <c r="C18" s="502"/>
      <c r="D18" s="502"/>
      <c r="E18" s="502"/>
      <c r="F18" s="196"/>
      <c r="G18" s="196"/>
      <c r="H18" s="196"/>
    </row>
    <row r="19" spans="1:8" ht="26.25" customHeight="1" x14ac:dyDescent="0.4">
      <c r="A19" s="198" t="s">
        <v>34</v>
      </c>
      <c r="B19" s="199" t="s">
        <v>7</v>
      </c>
      <c r="C19" s="196">
        <v>8</v>
      </c>
      <c r="D19" s="196"/>
      <c r="E19" s="196"/>
      <c r="F19" s="196"/>
      <c r="G19" s="196"/>
      <c r="H19" s="196"/>
    </row>
    <row r="20" spans="1:8" ht="26.25" customHeight="1" x14ac:dyDescent="0.4">
      <c r="A20" s="198" t="s">
        <v>35</v>
      </c>
      <c r="B20" s="199" t="s">
        <v>147</v>
      </c>
      <c r="C20" s="196"/>
      <c r="D20" s="196"/>
      <c r="E20" s="196"/>
      <c r="F20" s="196"/>
      <c r="G20" s="196"/>
      <c r="H20" s="196"/>
    </row>
    <row r="21" spans="1:8" ht="26.25" customHeight="1" x14ac:dyDescent="0.4">
      <c r="A21" s="198" t="s">
        <v>36</v>
      </c>
      <c r="B21" s="521" t="s">
        <v>155</v>
      </c>
      <c r="C21" s="521"/>
      <c r="D21" s="521"/>
      <c r="E21" s="521"/>
      <c r="F21" s="521"/>
      <c r="G21" s="521"/>
      <c r="H21" s="521"/>
    </row>
    <row r="22" spans="1:8" ht="26.25" customHeight="1" x14ac:dyDescent="0.4">
      <c r="A22" s="198" t="s">
        <v>37</v>
      </c>
      <c r="B22" s="200">
        <v>42679</v>
      </c>
      <c r="C22" s="196"/>
      <c r="D22" s="196"/>
      <c r="E22" s="196"/>
      <c r="F22" s="196"/>
      <c r="G22" s="196"/>
      <c r="H22" s="196"/>
    </row>
    <row r="23" spans="1:8" ht="26.25" customHeight="1" x14ac:dyDescent="0.4">
      <c r="A23" s="198" t="s">
        <v>38</v>
      </c>
      <c r="B23" s="200">
        <v>42681</v>
      </c>
      <c r="C23" s="196"/>
      <c r="D23" s="196"/>
      <c r="E23" s="196"/>
      <c r="F23" s="196"/>
      <c r="G23" s="196"/>
      <c r="H23" s="196"/>
    </row>
    <row r="24" spans="1:8" ht="18.75" customHeight="1" x14ac:dyDescent="0.3">
      <c r="A24" s="198"/>
      <c r="B24" s="201"/>
      <c r="C24" s="196"/>
      <c r="D24" s="196"/>
      <c r="E24" s="196"/>
      <c r="F24" s="196"/>
      <c r="G24" s="196"/>
      <c r="H24" s="196"/>
    </row>
    <row r="25" spans="1:8" ht="18.75" customHeight="1" x14ac:dyDescent="0.3">
      <c r="A25" s="202" t="s">
        <v>1</v>
      </c>
      <c r="B25" s="201"/>
      <c r="C25" s="196"/>
      <c r="D25" s="196"/>
      <c r="E25" s="196"/>
      <c r="F25" s="196"/>
      <c r="G25" s="196"/>
      <c r="H25" s="196"/>
    </row>
    <row r="26" spans="1:8" ht="26.25" customHeight="1" x14ac:dyDescent="0.4">
      <c r="A26" s="203" t="s">
        <v>4</v>
      </c>
      <c r="B26" s="522" t="s">
        <v>145</v>
      </c>
      <c r="C26" s="522"/>
      <c r="D26" s="196"/>
      <c r="E26" s="196"/>
      <c r="F26" s="196"/>
      <c r="G26" s="196"/>
      <c r="H26" s="196"/>
    </row>
    <row r="27" spans="1:8" ht="26.25" customHeight="1" x14ac:dyDescent="0.4">
      <c r="A27" s="204" t="s">
        <v>39</v>
      </c>
      <c r="B27" s="521" t="s">
        <v>146</v>
      </c>
      <c r="C27" s="521"/>
      <c r="D27" s="196"/>
      <c r="E27" s="196"/>
      <c r="F27" s="196"/>
      <c r="G27" s="196"/>
      <c r="H27" s="196"/>
    </row>
    <row r="28" spans="1:8" ht="27" customHeight="1" x14ac:dyDescent="0.4">
      <c r="A28" s="204" t="s">
        <v>6</v>
      </c>
      <c r="B28" s="205">
        <v>99.8</v>
      </c>
      <c r="C28" s="196"/>
      <c r="D28" s="196"/>
      <c r="E28" s="196"/>
      <c r="F28" s="196"/>
      <c r="G28" s="196"/>
      <c r="H28" s="196"/>
    </row>
    <row r="29" spans="1:8" ht="27" customHeight="1" x14ac:dyDescent="0.4">
      <c r="A29" s="204" t="s">
        <v>40</v>
      </c>
      <c r="B29" s="206">
        <v>0</v>
      </c>
      <c r="C29" s="523" t="s">
        <v>128</v>
      </c>
      <c r="D29" s="524"/>
      <c r="E29" s="524"/>
      <c r="F29" s="524"/>
      <c r="G29" s="524"/>
      <c r="H29" s="525"/>
    </row>
    <row r="30" spans="1:8" ht="19.5" customHeight="1" x14ac:dyDescent="0.3">
      <c r="A30" s="204" t="s">
        <v>41</v>
      </c>
      <c r="B30" s="207">
        <f>B28-B29</f>
        <v>99.8</v>
      </c>
      <c r="C30" s="208"/>
      <c r="D30" s="208"/>
      <c r="E30" s="208"/>
      <c r="F30" s="208"/>
      <c r="G30" s="208"/>
      <c r="H30" s="209"/>
    </row>
    <row r="31" spans="1:8" ht="27" customHeight="1" x14ac:dyDescent="0.4">
      <c r="A31" s="204" t="s">
        <v>42</v>
      </c>
      <c r="B31" s="210">
        <v>1</v>
      </c>
      <c r="C31" s="526" t="s">
        <v>43</v>
      </c>
      <c r="D31" s="527"/>
      <c r="E31" s="527"/>
      <c r="F31" s="527"/>
      <c r="G31" s="527"/>
      <c r="H31" s="528"/>
    </row>
    <row r="32" spans="1:8" ht="27" customHeight="1" x14ac:dyDescent="0.4">
      <c r="A32" s="204" t="s">
        <v>44</v>
      </c>
      <c r="B32" s="210">
        <v>1</v>
      </c>
      <c r="C32" s="526" t="s">
        <v>45</v>
      </c>
      <c r="D32" s="527"/>
      <c r="E32" s="527"/>
      <c r="F32" s="527"/>
      <c r="G32" s="527"/>
      <c r="H32" s="528"/>
    </row>
    <row r="33" spans="1:8" ht="18.75" customHeight="1" x14ac:dyDescent="0.3">
      <c r="A33" s="204"/>
      <c r="B33" s="211"/>
      <c r="C33" s="212"/>
      <c r="D33" s="212"/>
      <c r="E33" s="212"/>
      <c r="F33" s="212"/>
      <c r="G33" s="212"/>
      <c r="H33" s="212"/>
    </row>
    <row r="34" spans="1:8" ht="18.75" customHeight="1" x14ac:dyDescent="0.3">
      <c r="A34" s="204" t="s">
        <v>46</v>
      </c>
      <c r="B34" s="213">
        <f>B31/B32</f>
        <v>1</v>
      </c>
      <c r="C34" s="196" t="s">
        <v>47</v>
      </c>
      <c r="D34" s="196"/>
      <c r="E34" s="196"/>
      <c r="F34" s="196"/>
      <c r="G34" s="196"/>
      <c r="H34" s="214"/>
    </row>
    <row r="35" spans="1:8" ht="19.5" customHeight="1" x14ac:dyDescent="0.3">
      <c r="A35" s="204"/>
      <c r="B35" s="207"/>
      <c r="C35" s="214"/>
      <c r="D35" s="214"/>
      <c r="E35" s="214"/>
      <c r="F35" s="214"/>
      <c r="G35" s="196"/>
      <c r="H35" s="214"/>
    </row>
    <row r="36" spans="1:8" ht="27" customHeight="1" x14ac:dyDescent="0.4">
      <c r="A36" s="215" t="s">
        <v>131</v>
      </c>
      <c r="B36" s="216">
        <v>5</v>
      </c>
      <c r="C36" s="196"/>
      <c r="D36" s="529" t="s">
        <v>48</v>
      </c>
      <c r="E36" s="530"/>
      <c r="F36" s="529" t="s">
        <v>49</v>
      </c>
      <c r="G36" s="531"/>
      <c r="H36" s="214"/>
    </row>
    <row r="37" spans="1:8" ht="26.25" customHeight="1" x14ac:dyDescent="0.4">
      <c r="A37" s="217" t="s">
        <v>50</v>
      </c>
      <c r="B37" s="218">
        <v>1</v>
      </c>
      <c r="C37" s="219" t="s">
        <v>51</v>
      </c>
      <c r="D37" s="220" t="s">
        <v>52</v>
      </c>
      <c r="E37" s="221" t="s">
        <v>53</v>
      </c>
      <c r="F37" s="220" t="s">
        <v>52</v>
      </c>
      <c r="G37" s="222" t="s">
        <v>53</v>
      </c>
      <c r="H37" s="214"/>
    </row>
    <row r="38" spans="1:8" ht="26.25" customHeight="1" x14ac:dyDescent="0.4">
      <c r="A38" s="217" t="s">
        <v>54</v>
      </c>
      <c r="B38" s="218">
        <v>1</v>
      </c>
      <c r="C38" s="223">
        <v>1</v>
      </c>
      <c r="D38" s="224">
        <v>7651394</v>
      </c>
      <c r="E38" s="225">
        <f>IF(ISBLANK(D38),"-",$D$48/$D$45*D38)</f>
        <v>7940680.9476020923</v>
      </c>
      <c r="F38" s="224">
        <v>7816526</v>
      </c>
      <c r="G38" s="226">
        <f>IF(ISBLANK(F38),"-",$D$48/$F$45*F38)</f>
        <v>7793224.2594642024</v>
      </c>
      <c r="H38" s="214"/>
    </row>
    <row r="39" spans="1:8" ht="26.25" customHeight="1" x14ac:dyDescent="0.4">
      <c r="A39" s="217" t="s">
        <v>55</v>
      </c>
      <c r="B39" s="218">
        <v>1</v>
      </c>
      <c r="C39" s="227">
        <v>2</v>
      </c>
      <c r="D39" s="228">
        <v>7600511</v>
      </c>
      <c r="E39" s="229">
        <f>IF(ISBLANK(D39),"-",$D$48/$D$45*D39)</f>
        <v>7887874.1428999892</v>
      </c>
      <c r="F39" s="228">
        <v>7839531</v>
      </c>
      <c r="G39" s="230">
        <f>IF(ISBLANK(F39),"-",$D$48/$F$45*F39)</f>
        <v>7816160.6795680914</v>
      </c>
      <c r="H39" s="214"/>
    </row>
    <row r="40" spans="1:8" ht="26.25" customHeight="1" x14ac:dyDescent="0.4">
      <c r="A40" s="217" t="s">
        <v>56</v>
      </c>
      <c r="B40" s="218">
        <v>1</v>
      </c>
      <c r="C40" s="227">
        <v>3</v>
      </c>
      <c r="D40" s="228">
        <v>7672242</v>
      </c>
      <c r="E40" s="229">
        <f>IF(ISBLANK(D40),"-",$D$48/$D$45*D40)</f>
        <v>7962317.1770781334</v>
      </c>
      <c r="F40" s="228">
        <v>7823568</v>
      </c>
      <c r="G40" s="230">
        <f>IF(ISBLANK(F40),"-",$D$48/$F$45*F40)</f>
        <v>7800245.2666527089</v>
      </c>
      <c r="H40" s="196"/>
    </row>
    <row r="41" spans="1:8" ht="26.25" customHeight="1" x14ac:dyDescent="0.4">
      <c r="A41" s="217" t="s">
        <v>57</v>
      </c>
      <c r="B41" s="218">
        <v>1</v>
      </c>
      <c r="C41" s="231">
        <v>4</v>
      </c>
      <c r="D41" s="232"/>
      <c r="E41" s="233" t="str">
        <f>IF(ISBLANK(D41),"-",$D$48/$D$45*D41)</f>
        <v>-</v>
      </c>
      <c r="F41" s="232"/>
      <c r="G41" s="234" t="str">
        <f>IF(ISBLANK(F41),"-",$D$48/$F$45*F41)</f>
        <v>-</v>
      </c>
      <c r="H41" s="196"/>
    </row>
    <row r="42" spans="1:8" ht="27" customHeight="1" x14ac:dyDescent="0.4">
      <c r="A42" s="217" t="s">
        <v>58</v>
      </c>
      <c r="B42" s="218">
        <v>1</v>
      </c>
      <c r="C42" s="235" t="s">
        <v>59</v>
      </c>
      <c r="D42" s="236">
        <f>AVERAGE(D38:D41)</f>
        <v>7641382.333333333</v>
      </c>
      <c r="E42" s="237">
        <f>AVERAGE(E38:E41)</f>
        <v>7930290.7558600716</v>
      </c>
      <c r="F42" s="236">
        <f>AVERAGE(F38:F41)</f>
        <v>7826541.666666667</v>
      </c>
      <c r="G42" s="238">
        <f>AVERAGE(G38:G41)</f>
        <v>7803210.0685616685</v>
      </c>
      <c r="H42" s="239"/>
    </row>
    <row r="43" spans="1:8" ht="26.25" customHeight="1" x14ac:dyDescent="0.4">
      <c r="A43" s="217" t="s">
        <v>60</v>
      </c>
      <c r="B43" s="218">
        <v>1</v>
      </c>
      <c r="C43" s="240" t="s">
        <v>89</v>
      </c>
      <c r="D43" s="241">
        <v>19.309999999999999</v>
      </c>
      <c r="E43" s="242"/>
      <c r="F43" s="241">
        <v>20.100000000000001</v>
      </c>
      <c r="G43" s="196"/>
      <c r="H43" s="239"/>
    </row>
    <row r="44" spans="1:8" ht="26.25" customHeight="1" x14ac:dyDescent="0.4">
      <c r="A44" s="217" t="s">
        <v>61</v>
      </c>
      <c r="B44" s="218">
        <v>1</v>
      </c>
      <c r="C44" s="243" t="s">
        <v>90</v>
      </c>
      <c r="D44" s="244">
        <f>D43*$B$34</f>
        <v>19.309999999999999</v>
      </c>
      <c r="E44" s="245"/>
      <c r="F44" s="244">
        <f>F43*$B$34</f>
        <v>20.100000000000001</v>
      </c>
      <c r="G44" s="196"/>
      <c r="H44" s="239"/>
    </row>
    <row r="45" spans="1:8" ht="19.5" customHeight="1" x14ac:dyDescent="0.3">
      <c r="A45" s="217" t="s">
        <v>62</v>
      </c>
      <c r="B45" s="246">
        <f>(B44/B43)*(B42/B41)*(B40/B39)*(B38/B37)*B36</f>
        <v>5</v>
      </c>
      <c r="C45" s="243" t="s">
        <v>63</v>
      </c>
      <c r="D45" s="247">
        <f>D44*$B$30/100</f>
        <v>19.271380000000001</v>
      </c>
      <c r="E45" s="248"/>
      <c r="F45" s="247">
        <f>F44*$B$30/100</f>
        <v>20.059799999999999</v>
      </c>
      <c r="G45" s="196"/>
      <c r="H45" s="239"/>
    </row>
    <row r="46" spans="1:8" ht="19.5" customHeight="1" x14ac:dyDescent="0.3">
      <c r="A46" s="511" t="s">
        <v>64</v>
      </c>
      <c r="B46" s="512"/>
      <c r="C46" s="243" t="s">
        <v>65</v>
      </c>
      <c r="D46" s="244">
        <f>D45/$B$45</f>
        <v>3.854276</v>
      </c>
      <c r="E46" s="248"/>
      <c r="F46" s="249">
        <f>F45/$B$45</f>
        <v>4.0119600000000002</v>
      </c>
      <c r="G46" s="196"/>
      <c r="H46" s="239"/>
    </row>
    <row r="47" spans="1:8" ht="27" customHeight="1" x14ac:dyDescent="0.4">
      <c r="A47" s="513"/>
      <c r="B47" s="514"/>
      <c r="C47" s="250" t="s">
        <v>129</v>
      </c>
      <c r="D47" s="251">
        <v>4</v>
      </c>
      <c r="E47" s="196"/>
      <c r="F47" s="252"/>
      <c r="G47" s="196"/>
      <c r="H47" s="239"/>
    </row>
    <row r="48" spans="1:8" ht="18.75" customHeight="1" x14ac:dyDescent="0.3">
      <c r="A48" s="196"/>
      <c r="B48" s="196"/>
      <c r="C48" s="253" t="s">
        <v>66</v>
      </c>
      <c r="D48" s="244">
        <f>D47*$B$45</f>
        <v>20</v>
      </c>
      <c r="E48" s="196"/>
      <c r="F48" s="252"/>
      <c r="G48" s="196"/>
      <c r="H48" s="239"/>
    </row>
    <row r="49" spans="1:8" ht="19.5" customHeight="1" x14ac:dyDescent="0.3">
      <c r="A49" s="196"/>
      <c r="B49" s="196"/>
      <c r="C49" s="254" t="s">
        <v>67</v>
      </c>
      <c r="D49" s="255">
        <f>D48/B34</f>
        <v>20</v>
      </c>
      <c r="E49" s="196"/>
      <c r="F49" s="252"/>
      <c r="G49" s="196"/>
      <c r="H49" s="239"/>
    </row>
    <row r="50" spans="1:8" ht="18.75" customHeight="1" x14ac:dyDescent="0.3">
      <c r="A50" s="196"/>
      <c r="B50" s="196"/>
      <c r="C50" s="215" t="s">
        <v>68</v>
      </c>
      <c r="D50" s="256">
        <f>AVERAGE(E38:E41,G38:G41)</f>
        <v>7866750.4122108696</v>
      </c>
      <c r="E50" s="196"/>
      <c r="F50" s="257"/>
      <c r="G50" s="196"/>
      <c r="H50" s="239"/>
    </row>
    <row r="51" spans="1:8" ht="18.75" customHeight="1" x14ac:dyDescent="0.3">
      <c r="A51" s="196"/>
      <c r="B51" s="196"/>
      <c r="C51" s="250" t="s">
        <v>69</v>
      </c>
      <c r="D51" s="258">
        <f>STDEV(E38:E41,G38:G41)/D50</f>
        <v>9.4158297798335421E-3</v>
      </c>
      <c r="E51" s="196"/>
      <c r="F51" s="257"/>
      <c r="G51" s="196"/>
      <c r="H51" s="239"/>
    </row>
    <row r="52" spans="1:8" ht="19.5" customHeight="1" x14ac:dyDescent="0.3">
      <c r="A52" s="196"/>
      <c r="B52" s="196"/>
      <c r="C52" s="259" t="s">
        <v>18</v>
      </c>
      <c r="D52" s="260">
        <f>COUNT(E38:E41,G38:G41)</f>
        <v>6</v>
      </c>
      <c r="E52" s="196"/>
      <c r="F52" s="257"/>
      <c r="G52" s="196"/>
      <c r="H52" s="196"/>
    </row>
    <row r="53" spans="1:8" ht="18.75" customHeight="1" x14ac:dyDescent="0.3">
      <c r="A53" s="196"/>
      <c r="B53" s="196"/>
      <c r="C53" s="196"/>
      <c r="D53" s="196"/>
      <c r="E53" s="196"/>
      <c r="F53" s="196"/>
      <c r="G53" s="196"/>
      <c r="H53" s="196"/>
    </row>
    <row r="54" spans="1:8" ht="18.75" customHeight="1" x14ac:dyDescent="0.3">
      <c r="A54" s="197" t="s">
        <v>1</v>
      </c>
      <c r="B54" s="261" t="s">
        <v>70</v>
      </c>
      <c r="C54" s="196"/>
      <c r="D54" s="196"/>
      <c r="E54" s="196"/>
      <c r="F54" s="196"/>
      <c r="G54" s="196"/>
      <c r="H54" s="196"/>
    </row>
    <row r="55" spans="1:8" ht="18.75" customHeight="1" x14ac:dyDescent="0.3">
      <c r="A55" s="196" t="s">
        <v>71</v>
      </c>
      <c r="B55" s="262" t="str">
        <f>B21</f>
        <v>Each vial contains: Artesunate 60 mg. The combi pack contains 1 mL ampoule of Sodium Bicarbonate Injection 5% and 5ml ampoule Sodium Chloride injection</v>
      </c>
      <c r="C55" s="196"/>
      <c r="D55" s="196"/>
      <c r="E55" s="196"/>
      <c r="F55" s="196"/>
      <c r="G55" s="196"/>
      <c r="H55" s="196"/>
    </row>
    <row r="56" spans="1:8" ht="26.25" customHeight="1" x14ac:dyDescent="0.4">
      <c r="A56" s="263" t="s">
        <v>132</v>
      </c>
      <c r="B56" s="264">
        <v>60</v>
      </c>
      <c r="C56" s="196" t="str">
        <f>B20</f>
        <v>ARTESUNATE</v>
      </c>
      <c r="D56" s="196"/>
      <c r="E56" s="196"/>
      <c r="F56" s="196"/>
      <c r="G56" s="196"/>
      <c r="H56" s="265"/>
    </row>
    <row r="57" spans="1:8" ht="18.75" customHeight="1" x14ac:dyDescent="0.3">
      <c r="A57" s="262" t="s">
        <v>133</v>
      </c>
      <c r="B57" s="313">
        <f>'Uniformity '!D43</f>
        <v>58.157777777777582</v>
      </c>
      <c r="C57" s="196"/>
      <c r="D57" s="196"/>
      <c r="E57" s="196"/>
      <c r="F57" s="196"/>
      <c r="G57" s="196"/>
      <c r="H57" s="265"/>
    </row>
    <row r="58" spans="1:8" ht="19.5" customHeight="1" x14ac:dyDescent="0.3">
      <c r="A58" s="196"/>
      <c r="B58" s="196"/>
      <c r="C58" s="196"/>
      <c r="D58" s="196"/>
      <c r="E58" s="196"/>
      <c r="F58" s="196"/>
      <c r="G58" s="196"/>
      <c r="H58" s="265"/>
    </row>
    <row r="59" spans="1:8" ht="27" customHeight="1" x14ac:dyDescent="0.4">
      <c r="A59" s="215" t="s">
        <v>130</v>
      </c>
      <c r="B59" s="216">
        <v>10</v>
      </c>
      <c r="C59" s="196"/>
      <c r="D59" s="266" t="s">
        <v>134</v>
      </c>
      <c r="E59" s="267" t="s">
        <v>51</v>
      </c>
      <c r="F59" s="267" t="s">
        <v>52</v>
      </c>
      <c r="G59" s="267" t="s">
        <v>72</v>
      </c>
      <c r="H59" s="219" t="s">
        <v>73</v>
      </c>
    </row>
    <row r="60" spans="1:8" ht="26.25" customHeight="1" x14ac:dyDescent="0.4">
      <c r="A60" s="217" t="s">
        <v>91</v>
      </c>
      <c r="B60" s="218">
        <v>1</v>
      </c>
      <c r="C60" s="504" t="s">
        <v>74</v>
      </c>
      <c r="D60" s="507">
        <v>34.9</v>
      </c>
      <c r="E60" s="268">
        <v>1</v>
      </c>
      <c r="F60" s="269">
        <v>6814142</v>
      </c>
      <c r="G60" s="270">
        <f>IF(ISBLANK(F60),"-",(F60/$D$50*$D$47*$B$68)*($B$57/$D$60))</f>
        <v>57.737526698657518</v>
      </c>
      <c r="H60" s="271">
        <f t="shared" ref="H60:H71" si="0">IF(ISBLANK(F60),"-",G60/$B$56)</f>
        <v>0.96229211164429196</v>
      </c>
    </row>
    <row r="61" spans="1:8" ht="26.25" customHeight="1" x14ac:dyDescent="0.4">
      <c r="A61" s="217" t="s">
        <v>75</v>
      </c>
      <c r="B61" s="218">
        <v>1</v>
      </c>
      <c r="C61" s="505"/>
      <c r="D61" s="508"/>
      <c r="E61" s="272">
        <v>2</v>
      </c>
      <c r="F61" s="228">
        <v>6895694</v>
      </c>
      <c r="G61" s="273">
        <f>IF(ISBLANK(F61),"-",(F61/$D$50*$D$47*$B$68)*($B$57/$D$60))</f>
        <v>58.428532371466943</v>
      </c>
      <c r="H61" s="274">
        <f t="shared" si="0"/>
        <v>0.97380887285778239</v>
      </c>
    </row>
    <row r="62" spans="1:8" ht="26.25" customHeight="1" x14ac:dyDescent="0.4">
      <c r="A62" s="217" t="s">
        <v>76</v>
      </c>
      <c r="B62" s="218">
        <v>1</v>
      </c>
      <c r="C62" s="505"/>
      <c r="D62" s="508"/>
      <c r="E62" s="272">
        <v>3</v>
      </c>
      <c r="F62" s="228">
        <v>6889070</v>
      </c>
      <c r="G62" s="273">
        <f>IF(ISBLANK(F62),"-",(F62/$D$50*$D$47*$B$68)*($B$57/$D$60))</f>
        <v>58.372405954252287</v>
      </c>
      <c r="H62" s="274">
        <f t="shared" si="0"/>
        <v>0.97287343257087144</v>
      </c>
    </row>
    <row r="63" spans="1:8" ht="27" customHeight="1" x14ac:dyDescent="0.4">
      <c r="A63" s="217" t="s">
        <v>77</v>
      </c>
      <c r="B63" s="218">
        <v>1</v>
      </c>
      <c r="C63" s="506"/>
      <c r="D63" s="509"/>
      <c r="E63" s="275">
        <v>4</v>
      </c>
      <c r="F63" s="276"/>
      <c r="G63" s="273" t="str">
        <f>IF(ISBLANK(F63),"-",(F63/$D$50*$D$47*$B$68)*($B$57/$D$60))</f>
        <v>-</v>
      </c>
      <c r="H63" s="274" t="str">
        <f t="shared" si="0"/>
        <v>-</v>
      </c>
    </row>
    <row r="64" spans="1:8" ht="26.25" customHeight="1" x14ac:dyDescent="0.4">
      <c r="A64" s="217" t="s">
        <v>78</v>
      </c>
      <c r="B64" s="218">
        <v>1</v>
      </c>
      <c r="C64" s="504" t="s">
        <v>79</v>
      </c>
      <c r="D64" s="507">
        <v>41.03</v>
      </c>
      <c r="E64" s="268">
        <v>1</v>
      </c>
      <c r="F64" s="269">
        <v>8037609</v>
      </c>
      <c r="G64" s="277">
        <f>IF(ISBLANK(F64),"-",(F64/$D$50*$D$47*$B$68)*($B$57/$D$64))</f>
        <v>57.929233489771676</v>
      </c>
      <c r="H64" s="278">
        <f t="shared" si="0"/>
        <v>0.96548722482952798</v>
      </c>
    </row>
    <row r="65" spans="1:8" ht="26.25" customHeight="1" x14ac:dyDescent="0.4">
      <c r="A65" s="217" t="s">
        <v>80</v>
      </c>
      <c r="B65" s="218">
        <v>1</v>
      </c>
      <c r="C65" s="505"/>
      <c r="D65" s="508"/>
      <c r="E65" s="272">
        <v>2</v>
      </c>
      <c r="F65" s="228">
        <v>8126432</v>
      </c>
      <c r="G65" s="279">
        <f>IF(ISBLANK(F65),"-",(F65/$D$50*$D$47*$B$68)*($B$57/$D$64))</f>
        <v>58.56940500175515</v>
      </c>
      <c r="H65" s="280">
        <f t="shared" si="0"/>
        <v>0.97615675002925251</v>
      </c>
    </row>
    <row r="66" spans="1:8" ht="26.25" customHeight="1" x14ac:dyDescent="0.4">
      <c r="A66" s="217" t="s">
        <v>81</v>
      </c>
      <c r="B66" s="218">
        <v>1</v>
      </c>
      <c r="C66" s="505"/>
      <c r="D66" s="508"/>
      <c r="E66" s="272">
        <v>3</v>
      </c>
      <c r="F66" s="228">
        <v>8071874</v>
      </c>
      <c r="G66" s="279">
        <f>IF(ISBLANK(F66),"-",(F66/$D$50*$D$47*$B$68)*($B$57/$D$64))</f>
        <v>58.176190661428947</v>
      </c>
      <c r="H66" s="280">
        <f t="shared" si="0"/>
        <v>0.96960317769048243</v>
      </c>
    </row>
    <row r="67" spans="1:8" ht="27" customHeight="1" x14ac:dyDescent="0.4">
      <c r="A67" s="217" t="s">
        <v>82</v>
      </c>
      <c r="B67" s="218">
        <v>1</v>
      </c>
      <c r="C67" s="506"/>
      <c r="D67" s="509"/>
      <c r="E67" s="275">
        <v>4</v>
      </c>
      <c r="F67" s="276"/>
      <c r="G67" s="281" t="str">
        <f>IF(ISBLANK(F67),"-",(F67/$D$50*$D$47*$B$68)*($B$57/$D$64))</f>
        <v>-</v>
      </c>
      <c r="H67" s="282" t="str">
        <f t="shared" si="0"/>
        <v>-</v>
      </c>
    </row>
    <row r="68" spans="1:8" ht="26.25" customHeight="1" x14ac:dyDescent="0.4">
      <c r="A68" s="217" t="s">
        <v>83</v>
      </c>
      <c r="B68" s="283">
        <f>(B67/B66)*(B65/B64)*(B63/B62)*(B61/B60)*B59</f>
        <v>10</v>
      </c>
      <c r="C68" s="504" t="s">
        <v>84</v>
      </c>
      <c r="D68" s="507">
        <v>37.950000000000003</v>
      </c>
      <c r="E68" s="268">
        <v>1</v>
      </c>
      <c r="F68" s="269">
        <v>7483897</v>
      </c>
      <c r="G68" s="277">
        <f>IF(ISBLANK(F68),"-",(F68/$D$50*$D$47*$B$68)*($B$57/$D$68))</f>
        <v>58.316096364286636</v>
      </c>
      <c r="H68" s="274">
        <f t="shared" si="0"/>
        <v>0.97193493940477727</v>
      </c>
    </row>
    <row r="69" spans="1:8" ht="27" customHeight="1" x14ac:dyDescent="0.4">
      <c r="A69" s="259" t="s">
        <v>85</v>
      </c>
      <c r="B69" s="284">
        <f>(D47*B68)/B56*B57</f>
        <v>38.771851851851721</v>
      </c>
      <c r="C69" s="505"/>
      <c r="D69" s="508"/>
      <c r="E69" s="272">
        <v>2</v>
      </c>
      <c r="F69" s="228">
        <v>7568712</v>
      </c>
      <c r="G69" s="279">
        <f>IF(ISBLANK(F69),"-",(F69/$D$50*$D$47*$B$68)*($B$57/$D$68))</f>
        <v>58.976992647751914</v>
      </c>
      <c r="H69" s="274">
        <f t="shared" si="0"/>
        <v>0.98294987746253193</v>
      </c>
    </row>
    <row r="70" spans="1:8" ht="26.25" customHeight="1" x14ac:dyDescent="0.4">
      <c r="A70" s="511" t="s">
        <v>64</v>
      </c>
      <c r="B70" s="512"/>
      <c r="C70" s="505"/>
      <c r="D70" s="508"/>
      <c r="E70" s="272">
        <v>3</v>
      </c>
      <c r="F70" s="228">
        <v>7557086</v>
      </c>
      <c r="G70" s="279">
        <f>IF(ISBLANK(F70),"-",(F70/$D$50*$D$47*$B$68)*($B$57/$D$68))</f>
        <v>58.8864004153453</v>
      </c>
      <c r="H70" s="274">
        <f t="shared" si="0"/>
        <v>0.98144000692242161</v>
      </c>
    </row>
    <row r="71" spans="1:8" ht="27" customHeight="1" x14ac:dyDescent="0.4">
      <c r="A71" s="513"/>
      <c r="B71" s="514"/>
      <c r="C71" s="510"/>
      <c r="D71" s="509"/>
      <c r="E71" s="275">
        <v>4</v>
      </c>
      <c r="F71" s="276"/>
      <c r="G71" s="281" t="str">
        <f>IF(ISBLANK(F71),"-",(F71/$D$50*$D$47*$B$68)*($B$57/$D$68))</f>
        <v>-</v>
      </c>
      <c r="H71" s="285" t="str">
        <f t="shared" si="0"/>
        <v>-</v>
      </c>
    </row>
    <row r="72" spans="1:8" ht="26.25" customHeight="1" x14ac:dyDescent="0.4">
      <c r="A72" s="286"/>
      <c r="B72" s="286"/>
      <c r="C72" s="286"/>
      <c r="D72" s="286"/>
      <c r="E72" s="286"/>
      <c r="F72" s="287"/>
      <c r="G72" s="288" t="s">
        <v>59</v>
      </c>
      <c r="H72" s="289">
        <f>AVERAGE(H60:H71)</f>
        <v>0.97294959926799307</v>
      </c>
    </row>
    <row r="73" spans="1:8" ht="26.25" customHeight="1" x14ac:dyDescent="0.4">
      <c r="A73" s="196"/>
      <c r="B73" s="196"/>
      <c r="C73" s="286"/>
      <c r="D73" s="286"/>
      <c r="E73" s="286"/>
      <c r="F73" s="287"/>
      <c r="G73" s="290" t="s">
        <v>69</v>
      </c>
      <c r="H73" s="291">
        <f>STDEV(H60:H71)/H72</f>
        <v>6.9388057300025776E-3</v>
      </c>
    </row>
    <row r="74" spans="1:8" ht="27" customHeight="1" x14ac:dyDescent="0.4">
      <c r="A74" s="286"/>
      <c r="B74" s="286"/>
      <c r="C74" s="287"/>
      <c r="D74" s="287"/>
      <c r="E74" s="292"/>
      <c r="F74" s="287"/>
      <c r="G74" s="293" t="s">
        <v>18</v>
      </c>
      <c r="H74" s="294">
        <f>COUNT(H60:H71)</f>
        <v>9</v>
      </c>
    </row>
    <row r="75" spans="1:8" ht="18.75" customHeight="1" x14ac:dyDescent="0.3">
      <c r="A75" s="295"/>
      <c r="B75" s="295"/>
      <c r="C75" s="245"/>
      <c r="D75" s="245"/>
      <c r="E75" s="248"/>
      <c r="F75" s="245"/>
      <c r="G75" s="296"/>
      <c r="H75" s="297"/>
    </row>
    <row r="76" spans="1:8" ht="26.25" customHeight="1" x14ac:dyDescent="0.4">
      <c r="A76" s="203" t="s">
        <v>86</v>
      </c>
      <c r="B76" s="298" t="s">
        <v>87</v>
      </c>
      <c r="C76" s="515" t="str">
        <f>B20</f>
        <v>ARTESUNATE</v>
      </c>
      <c r="D76" s="515"/>
      <c r="E76" s="299" t="s">
        <v>88</v>
      </c>
      <c r="F76" s="299"/>
      <c r="G76" s="300">
        <f>H72</f>
        <v>0.97294959926799307</v>
      </c>
      <c r="H76" s="297"/>
    </row>
    <row r="77" spans="1:8" ht="19.5" customHeight="1" x14ac:dyDescent="0.3">
      <c r="A77" s="301"/>
      <c r="B77" s="301"/>
      <c r="C77" s="302"/>
      <c r="D77" s="302"/>
      <c r="E77" s="302"/>
      <c r="F77" s="302"/>
      <c r="G77" s="302"/>
      <c r="H77" s="302"/>
    </row>
    <row r="78" spans="1:8" ht="18.75" customHeight="1" x14ac:dyDescent="0.3">
      <c r="A78" s="196"/>
      <c r="B78" s="503" t="s">
        <v>24</v>
      </c>
      <c r="C78" s="503"/>
      <c r="D78" s="196"/>
      <c r="E78" s="303" t="s">
        <v>25</v>
      </c>
      <c r="F78" s="304"/>
      <c r="G78" s="503" t="s">
        <v>26</v>
      </c>
      <c r="H78" s="503"/>
    </row>
    <row r="79" spans="1:8" ht="60" customHeight="1" x14ac:dyDescent="0.3">
      <c r="A79" s="305" t="s">
        <v>27</v>
      </c>
      <c r="B79" s="306" t="s">
        <v>148</v>
      </c>
      <c r="C79" s="306"/>
      <c r="D79" s="196"/>
      <c r="E79" s="307"/>
      <c r="F79" s="308"/>
      <c r="G79" s="309"/>
      <c r="H79" s="309"/>
    </row>
    <row r="80" spans="1:8" ht="60" customHeight="1" x14ac:dyDescent="0.3">
      <c r="A80" s="305" t="s">
        <v>28</v>
      </c>
      <c r="B80" s="310"/>
      <c r="C80" s="310"/>
      <c r="D80" s="196"/>
      <c r="E80" s="311"/>
      <c r="F80" s="308"/>
      <c r="G80" s="312"/>
      <c r="H80" s="312"/>
    </row>
    <row r="250" spans="1:1" x14ac:dyDescent="0.2">
      <c r="A250">
        <v>5</v>
      </c>
    </row>
  </sheetData>
  <sheetProtection password="F258" sheet="1" objects="1" scenarios="1" formatCells="0" formatColumns="0"/>
  <mergeCells count="24">
    <mergeCell ref="A1:H7"/>
    <mergeCell ref="A8:H14"/>
    <mergeCell ref="C60:C63"/>
    <mergeCell ref="D60:D63"/>
    <mergeCell ref="A16:H16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18:C18"/>
    <mergeCell ref="D18:E18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32" zoomScale="60" zoomScaleNormal="75" zoomScalePageLayoutView="50" workbookViewId="0">
      <selection activeCell="D53" sqref="D53:D54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516" t="s">
        <v>93</v>
      </c>
      <c r="B1" s="516"/>
      <c r="C1" s="516"/>
      <c r="D1" s="516"/>
      <c r="E1" s="516"/>
      <c r="F1" s="516"/>
      <c r="G1" s="516"/>
      <c r="H1" s="516"/>
      <c r="I1" s="516"/>
    </row>
    <row r="2" spans="1:9" ht="15" x14ac:dyDescent="0.3">
      <c r="A2" s="516"/>
      <c r="B2" s="516"/>
      <c r="C2" s="516"/>
      <c r="D2" s="516"/>
      <c r="E2" s="516"/>
      <c r="F2" s="516"/>
      <c r="G2" s="516"/>
      <c r="H2" s="516"/>
      <c r="I2" s="516"/>
    </row>
    <row r="3" spans="1:9" ht="15" x14ac:dyDescent="0.3">
      <c r="A3" s="516"/>
      <c r="B3" s="516"/>
      <c r="C3" s="516"/>
      <c r="D3" s="516"/>
      <c r="E3" s="516"/>
      <c r="F3" s="516"/>
      <c r="G3" s="516"/>
      <c r="H3" s="516"/>
      <c r="I3" s="516"/>
    </row>
    <row r="4" spans="1:9" ht="15" x14ac:dyDescent="0.3">
      <c r="A4" s="516"/>
      <c r="B4" s="516"/>
      <c r="C4" s="516"/>
      <c r="D4" s="516"/>
      <c r="E4" s="516"/>
      <c r="F4" s="516"/>
      <c r="G4" s="516"/>
      <c r="H4" s="516"/>
      <c r="I4" s="516"/>
    </row>
    <row r="5" spans="1:9" ht="15" x14ac:dyDescent="0.3">
      <c r="A5" s="516"/>
      <c r="B5" s="516"/>
      <c r="C5" s="516"/>
      <c r="D5" s="516"/>
      <c r="E5" s="516"/>
      <c r="F5" s="516"/>
      <c r="G5" s="516"/>
      <c r="H5" s="516"/>
      <c r="I5" s="516"/>
    </row>
    <row r="6" spans="1:9" ht="15" x14ac:dyDescent="0.3">
      <c r="A6" s="516"/>
      <c r="B6" s="516"/>
      <c r="C6" s="516"/>
      <c r="D6" s="516"/>
      <c r="E6" s="516"/>
      <c r="F6" s="516"/>
      <c r="G6" s="516"/>
      <c r="H6" s="516"/>
      <c r="I6" s="516"/>
    </row>
    <row r="7" spans="1:9" ht="15" x14ac:dyDescent="0.3">
      <c r="A7" s="516"/>
      <c r="B7" s="516"/>
      <c r="C7" s="516"/>
      <c r="D7" s="516"/>
      <c r="E7" s="516"/>
      <c r="F7" s="516"/>
      <c r="G7" s="516"/>
      <c r="H7" s="516"/>
      <c r="I7" s="516"/>
    </row>
    <row r="8" spans="1:9" ht="15" x14ac:dyDescent="0.3">
      <c r="A8" s="517" t="s">
        <v>30</v>
      </c>
      <c r="B8" s="517"/>
      <c r="C8" s="517"/>
      <c r="D8" s="517"/>
      <c r="E8" s="517"/>
      <c r="F8" s="517"/>
      <c r="G8" s="517"/>
      <c r="H8" s="517"/>
      <c r="I8" s="517"/>
    </row>
    <row r="9" spans="1:9" ht="15" x14ac:dyDescent="0.3">
      <c r="A9" s="517"/>
      <c r="B9" s="517"/>
      <c r="C9" s="517"/>
      <c r="D9" s="517"/>
      <c r="E9" s="517"/>
      <c r="F9" s="517"/>
      <c r="G9" s="517"/>
      <c r="H9" s="517"/>
      <c r="I9" s="517"/>
    </row>
    <row r="10" spans="1:9" ht="15" x14ac:dyDescent="0.3">
      <c r="A10" s="517"/>
      <c r="B10" s="517"/>
      <c r="C10" s="517"/>
      <c r="D10" s="517"/>
      <c r="E10" s="517"/>
      <c r="F10" s="517"/>
      <c r="G10" s="517"/>
      <c r="H10" s="517"/>
      <c r="I10" s="517"/>
    </row>
    <row r="11" spans="1:9" ht="15" x14ac:dyDescent="0.3">
      <c r="A11" s="517"/>
      <c r="B11" s="517"/>
      <c r="C11" s="517"/>
      <c r="D11" s="517"/>
      <c r="E11" s="517"/>
      <c r="F11" s="517"/>
      <c r="G11" s="517"/>
      <c r="H11" s="517"/>
      <c r="I11" s="517"/>
    </row>
    <row r="12" spans="1:9" ht="15" x14ac:dyDescent="0.3">
      <c r="A12" s="517"/>
      <c r="B12" s="517"/>
      <c r="C12" s="517"/>
      <c r="D12" s="517"/>
      <c r="E12" s="517"/>
      <c r="F12" s="517"/>
      <c r="G12" s="517"/>
      <c r="H12" s="517"/>
      <c r="I12" s="517"/>
    </row>
    <row r="13" spans="1:9" ht="15" x14ac:dyDescent="0.3">
      <c r="A13" s="517"/>
      <c r="B13" s="517"/>
      <c r="C13" s="517"/>
      <c r="D13" s="517"/>
      <c r="E13" s="517"/>
      <c r="F13" s="517"/>
      <c r="G13" s="517"/>
      <c r="H13" s="517"/>
      <c r="I13" s="517"/>
    </row>
    <row r="14" spans="1:9" ht="15" x14ac:dyDescent="0.3">
      <c r="A14" s="517"/>
      <c r="B14" s="517"/>
      <c r="C14" s="517"/>
      <c r="D14" s="517"/>
      <c r="E14" s="517"/>
      <c r="F14" s="517"/>
      <c r="G14" s="517"/>
      <c r="H14" s="517"/>
      <c r="I14" s="517"/>
    </row>
    <row r="15" spans="1:9" ht="19.5" customHeight="1" x14ac:dyDescent="0.3"/>
    <row r="16" spans="1:9" ht="19.5" customHeight="1" x14ac:dyDescent="0.3">
      <c r="A16" s="534" t="s">
        <v>31</v>
      </c>
      <c r="B16" s="535"/>
      <c r="C16" s="535"/>
      <c r="D16" s="535"/>
      <c r="E16" s="535"/>
      <c r="F16" s="535"/>
      <c r="G16" s="535"/>
      <c r="H16" s="536"/>
    </row>
    <row r="17" spans="1:14" ht="18.75" x14ac:dyDescent="0.3">
      <c r="A17" s="537" t="s">
        <v>32</v>
      </c>
      <c r="B17" s="537"/>
      <c r="C17" s="537"/>
      <c r="D17" s="537"/>
      <c r="E17" s="537"/>
      <c r="F17" s="537"/>
      <c r="G17" s="537"/>
      <c r="H17" s="537"/>
    </row>
    <row r="18" spans="1:14" ht="26.25" x14ac:dyDescent="0.3">
      <c r="A18" s="59" t="s">
        <v>33</v>
      </c>
      <c r="B18" s="382" t="s">
        <v>5</v>
      </c>
      <c r="C18" s="89"/>
      <c r="D18" s="89"/>
      <c r="E18" s="89"/>
    </row>
    <row r="19" spans="1:14" ht="26.25" x14ac:dyDescent="0.3">
      <c r="A19" s="59" t="s">
        <v>34</v>
      </c>
      <c r="B19" s="384" t="s">
        <v>7</v>
      </c>
      <c r="C19" s="179">
        <v>22</v>
      </c>
    </row>
    <row r="20" spans="1:14" ht="18.75" x14ac:dyDescent="0.3">
      <c r="A20" s="59" t="s">
        <v>35</v>
      </c>
      <c r="B20" s="90" t="s">
        <v>92</v>
      </c>
    </row>
    <row r="21" spans="1:14" ht="18.75" x14ac:dyDescent="0.3">
      <c r="A21" s="59" t="s">
        <v>36</v>
      </c>
      <c r="B21" s="60" t="s">
        <v>154</v>
      </c>
      <c r="C21" s="60"/>
      <c r="D21" s="60"/>
      <c r="E21" s="60"/>
      <c r="F21" s="60"/>
      <c r="G21" s="60"/>
      <c r="H21" s="60"/>
      <c r="I21" s="56"/>
    </row>
    <row r="22" spans="1:14" ht="18.75" x14ac:dyDescent="0.3">
      <c r="A22" s="59" t="s">
        <v>37</v>
      </c>
      <c r="B22" s="91">
        <v>42679</v>
      </c>
    </row>
    <row r="23" spans="1:14" ht="18.75" x14ac:dyDescent="0.3">
      <c r="A23" s="59" t="s">
        <v>38</v>
      </c>
      <c r="B23" s="91">
        <v>42681</v>
      </c>
    </row>
    <row r="24" spans="1:14" ht="18.75" x14ac:dyDescent="0.3">
      <c r="A24" s="59"/>
      <c r="B24" s="61"/>
    </row>
    <row r="25" spans="1:14" ht="18.75" x14ac:dyDescent="0.3">
      <c r="A25" s="62" t="s">
        <v>1</v>
      </c>
      <c r="B25" s="68" t="s">
        <v>94</v>
      </c>
    </row>
    <row r="26" spans="1:14" s="37" customFormat="1" ht="18.75" x14ac:dyDescent="0.3">
      <c r="A26" s="63"/>
      <c r="B26" s="64"/>
      <c r="C26" s="86"/>
      <c r="D26" s="86"/>
      <c r="E26" s="86"/>
      <c r="F26" s="86"/>
      <c r="G26" s="58"/>
      <c r="H26" s="86"/>
      <c r="I26" s="87"/>
      <c r="J26" s="87"/>
      <c r="K26" s="87"/>
      <c r="L26" s="53"/>
      <c r="M26" s="53"/>
      <c r="N26" s="88"/>
    </row>
    <row r="27" spans="1:14" s="37" customFormat="1" ht="26.25" customHeight="1" x14ac:dyDescent="0.4">
      <c r="A27" s="98" t="s">
        <v>4</v>
      </c>
      <c r="B27" s="123" t="s">
        <v>92</v>
      </c>
      <c r="C27" s="121"/>
      <c r="D27" s="106"/>
      <c r="E27" s="99"/>
      <c r="F27" s="99"/>
      <c r="G27" s="99"/>
      <c r="H27" s="86"/>
      <c r="I27" s="87"/>
      <c r="J27" s="87"/>
      <c r="K27" s="87"/>
      <c r="L27" s="53"/>
      <c r="M27" s="53"/>
      <c r="N27" s="88"/>
    </row>
    <row r="28" spans="1:14" s="37" customFormat="1" ht="26.25" customHeight="1" x14ac:dyDescent="0.4">
      <c r="A28" s="65" t="s">
        <v>95</v>
      </c>
      <c r="B28" s="121">
        <v>58.44</v>
      </c>
      <c r="C28" s="122"/>
      <c r="D28" s="97"/>
      <c r="E28" s="97"/>
      <c r="F28" s="97"/>
      <c r="G28" s="97"/>
      <c r="H28" s="95"/>
      <c r="I28" s="87"/>
      <c r="J28" s="87"/>
      <c r="K28" s="87"/>
      <c r="L28" s="53"/>
      <c r="M28" s="53"/>
      <c r="N28" s="88"/>
    </row>
    <row r="29" spans="1:14" s="37" customFormat="1" ht="26.25" customHeight="1" x14ac:dyDescent="0.4">
      <c r="A29" s="147" t="s">
        <v>96</v>
      </c>
      <c r="B29" s="148">
        <v>0.1</v>
      </c>
      <c r="C29" s="122"/>
      <c r="D29" s="97"/>
      <c r="E29" s="97"/>
      <c r="F29" s="97"/>
      <c r="G29" s="97"/>
      <c r="H29" s="95"/>
      <c r="I29" s="87"/>
      <c r="J29" s="87"/>
      <c r="K29" s="87"/>
      <c r="L29" s="53"/>
      <c r="M29" s="53"/>
      <c r="N29" s="88"/>
    </row>
    <row r="30" spans="1:14" s="37" customFormat="1" ht="18.75" x14ac:dyDescent="0.3">
      <c r="A30" s="112" t="s">
        <v>97</v>
      </c>
      <c r="B30" s="107">
        <v>1</v>
      </c>
      <c r="C30" s="108" t="s">
        <v>98</v>
      </c>
      <c r="D30" s="107">
        <v>1</v>
      </c>
      <c r="F30" s="86"/>
      <c r="G30" s="58"/>
      <c r="H30" s="86"/>
      <c r="I30" s="87"/>
      <c r="J30" s="87"/>
      <c r="K30" s="87"/>
      <c r="L30" s="53"/>
      <c r="M30" s="53"/>
      <c r="N30" s="88"/>
    </row>
    <row r="31" spans="1:14" s="37" customFormat="1" ht="18.75" x14ac:dyDescent="0.3">
      <c r="A31" s="63"/>
      <c r="B31" s="64"/>
      <c r="C31" s="86"/>
      <c r="D31" s="86"/>
      <c r="E31" s="86"/>
      <c r="F31" s="86"/>
      <c r="G31" s="58"/>
      <c r="H31" s="86"/>
      <c r="I31" s="87"/>
      <c r="J31" s="87"/>
      <c r="K31" s="87"/>
      <c r="L31" s="53"/>
      <c r="M31" s="53"/>
      <c r="N31" s="88"/>
    </row>
    <row r="32" spans="1:14" s="37" customFormat="1" ht="19.5" customHeight="1" x14ac:dyDescent="0.3">
      <c r="A32" s="63"/>
      <c r="B32" s="64"/>
      <c r="C32" s="86"/>
      <c r="D32" s="86"/>
      <c r="E32" s="86"/>
      <c r="F32" s="86"/>
      <c r="G32" s="58"/>
      <c r="H32" s="86"/>
      <c r="I32" s="87"/>
      <c r="J32" s="87"/>
      <c r="K32" s="87"/>
      <c r="L32" s="53"/>
      <c r="M32" s="53"/>
      <c r="N32" s="88"/>
    </row>
    <row r="33" spans="1:14" s="37" customFormat="1" ht="19.5" customHeight="1" x14ac:dyDescent="0.3">
      <c r="A33" s="72" t="s">
        <v>99</v>
      </c>
      <c r="B33" s="72" t="s">
        <v>100</v>
      </c>
      <c r="C33" s="116" t="s">
        <v>101</v>
      </c>
      <c r="D33" s="72" t="s">
        <v>102</v>
      </c>
      <c r="E33" s="120" t="s">
        <v>103</v>
      </c>
      <c r="F33" s="124" t="s">
        <v>104</v>
      </c>
      <c r="G33" s="72" t="s">
        <v>105</v>
      </c>
      <c r="J33" s="87"/>
      <c r="K33" s="87"/>
      <c r="L33" s="53"/>
      <c r="M33" s="53"/>
      <c r="N33" s="88"/>
    </row>
    <row r="34" spans="1:14" s="37" customFormat="1" ht="26.25" customHeight="1" x14ac:dyDescent="0.4">
      <c r="A34" s="109" t="s">
        <v>106</v>
      </c>
      <c r="B34" s="113">
        <v>50.77</v>
      </c>
      <c r="C34" s="117">
        <f>IF(ISBLANK(B34), "-",B34/$B$28*($B$30/$D$30))</f>
        <v>0.868754277891855</v>
      </c>
      <c r="D34" s="181">
        <v>8.7910000000000004</v>
      </c>
      <c r="E34" s="149">
        <f>IF(ISBLANK(B34), "-",C34/D34)</f>
        <v>9.88231461599198E-2</v>
      </c>
      <c r="F34" s="158">
        <f>IF(ISBLANK(B34), "-",(E34-$B$29)/$B$29)</f>
        <v>-1.1768538400802053E-2</v>
      </c>
      <c r="G34" s="152">
        <f>IF(ISBLANK(B34),"-",E34/$B$29)</f>
        <v>0.98823146159919795</v>
      </c>
      <c r="J34" s="87"/>
      <c r="K34" s="87"/>
      <c r="L34" s="53"/>
      <c r="M34" s="53"/>
      <c r="N34" s="88"/>
    </row>
    <row r="35" spans="1:14" s="37" customFormat="1" ht="26.25" customHeight="1" x14ac:dyDescent="0.4">
      <c r="A35" s="110" t="s">
        <v>107</v>
      </c>
      <c r="B35" s="114">
        <v>50.87</v>
      </c>
      <c r="C35" s="118">
        <f>IF(ISBLANK(B35), "-",B35/$B$28*($B$30/$D$30))</f>
        <v>0.87046543463381243</v>
      </c>
      <c r="D35" s="182">
        <v>8.7959999999999994</v>
      </c>
      <c r="E35" s="150">
        <f>IF(ISBLANK(B35), "-",C35/D35)</f>
        <v>9.8961509167100101E-2</v>
      </c>
      <c r="F35" s="159">
        <f>IF(ISBLANK(B35), "-",(E35-$B$29)/$B$29)</f>
        <v>-1.0384908328999048E-2</v>
      </c>
      <c r="G35" s="153">
        <f>IF(ISBLANK(B35),"-",E35/$B$29)</f>
        <v>0.98961509167100092</v>
      </c>
      <c r="J35" s="87"/>
      <c r="K35" s="87"/>
      <c r="L35" s="53"/>
      <c r="M35" s="53"/>
      <c r="N35" s="88"/>
    </row>
    <row r="36" spans="1:14" s="37" customFormat="1" ht="26.25" customHeight="1" x14ac:dyDescent="0.4">
      <c r="A36" s="110" t="s">
        <v>108</v>
      </c>
      <c r="B36" s="114">
        <v>50.67</v>
      </c>
      <c r="C36" s="118">
        <f>IF(ISBLANK(B36), "-",B36/$B$28*($B$30/$D$30))</f>
        <v>0.86704312114989734</v>
      </c>
      <c r="D36" s="182">
        <v>8.7720000000000002</v>
      </c>
      <c r="E36" s="150">
        <f>IF(ISBLANK(B36), "-",C36/D36)</f>
        <v>9.8842125074087697E-2</v>
      </c>
      <c r="F36" s="159">
        <f>IF(ISBLANK(B36), "-",(E36-$B$29)/$B$29)</f>
        <v>-1.1578749259123083E-2</v>
      </c>
      <c r="G36" s="153">
        <f>IF(ISBLANK(B36),"-",E36/$B$29)</f>
        <v>0.98842125074087694</v>
      </c>
      <c r="J36" s="87"/>
      <c r="K36" s="87"/>
      <c r="L36" s="53"/>
      <c r="M36" s="53"/>
      <c r="N36" s="88"/>
    </row>
    <row r="37" spans="1:14" s="37" customFormat="1" ht="27" customHeight="1" x14ac:dyDescent="0.4">
      <c r="A37" s="111" t="s">
        <v>109</v>
      </c>
      <c r="B37" s="115"/>
      <c r="C37" s="119" t="str">
        <f>IF(ISBLANK(B37), "-",B37/$B$28*($B$30/$D$30))</f>
        <v>-</v>
      </c>
      <c r="D37" s="183"/>
      <c r="E37" s="151" t="str">
        <f>IF(ISBLANK(B37), "-",C37/D37)</f>
        <v>-</v>
      </c>
      <c r="F37" s="160" t="str">
        <f>IF(ISBLANK(B37), "-",(E37-$B$29)/$B$29)</f>
        <v>-</v>
      </c>
      <c r="G37" s="154" t="str">
        <f>IF(ISBLANK(B37),"-",E37/$B$29)</f>
        <v>-</v>
      </c>
      <c r="J37" s="87"/>
      <c r="K37" s="87"/>
      <c r="L37" s="53"/>
      <c r="M37" s="53"/>
      <c r="N37" s="88"/>
    </row>
    <row r="38" spans="1:14" ht="19.5" customHeight="1" x14ac:dyDescent="0.3">
      <c r="A38" s="52"/>
      <c r="B38" s="52"/>
      <c r="C38" s="52"/>
      <c r="D38" s="137" t="s">
        <v>110</v>
      </c>
      <c r="E38" s="105">
        <f>AVERAGE(E34:E37)</f>
        <v>9.8875593467035852E-2</v>
      </c>
      <c r="F38" s="177">
        <f>AVERAGE(F34:F37)</f>
        <v>-1.1244065329641395E-2</v>
      </c>
      <c r="G38" s="176">
        <f>AVERAGE(G34:G37)</f>
        <v>0.9887559346703586</v>
      </c>
      <c r="H38" s="52"/>
      <c r="L38" s="53"/>
      <c r="M38" s="53"/>
      <c r="N38" s="54"/>
    </row>
    <row r="39" spans="1:14" ht="18.75" x14ac:dyDescent="0.3">
      <c r="A39" s="52"/>
      <c r="B39" s="92"/>
      <c r="C39" s="94"/>
      <c r="D39" s="101" t="s">
        <v>69</v>
      </c>
      <c r="E39" s="102">
        <f>STDEV(E34:E37)/E38</f>
        <v>7.5860853539630522E-4</v>
      </c>
      <c r="F39" s="156"/>
      <c r="G39" s="52"/>
      <c r="H39" s="52"/>
    </row>
    <row r="40" spans="1:14" ht="19.5" customHeight="1" x14ac:dyDescent="0.3">
      <c r="A40" s="52"/>
      <c r="B40" s="92"/>
      <c r="C40" s="94"/>
      <c r="D40" s="103" t="s">
        <v>18</v>
      </c>
      <c r="E40" s="104">
        <f>COUNT(E34:E37)</f>
        <v>3</v>
      </c>
      <c r="F40" s="157"/>
      <c r="G40" s="52"/>
      <c r="H40" s="52"/>
    </row>
    <row r="41" spans="1:14" ht="18.75" x14ac:dyDescent="0.3">
      <c r="A41" s="96"/>
      <c r="B41" s="93"/>
      <c r="C41" s="92"/>
      <c r="D41" s="92"/>
      <c r="E41" s="92"/>
      <c r="F41" s="155"/>
      <c r="G41" s="52"/>
      <c r="H41" s="52"/>
    </row>
    <row r="43" spans="1:14" ht="18.75" x14ac:dyDescent="0.3">
      <c r="A43" s="67" t="s">
        <v>1</v>
      </c>
      <c r="B43" s="68" t="s">
        <v>70</v>
      </c>
    </row>
    <row r="44" spans="1:14" ht="18.75" x14ac:dyDescent="0.3">
      <c r="A44" s="63" t="s">
        <v>71</v>
      </c>
      <c r="B44" s="69" t="str">
        <f>B21</f>
        <v>Each 1 mL contains 9 mg Sodium Chloride</v>
      </c>
    </row>
    <row r="45" spans="1:14" ht="18.75" x14ac:dyDescent="0.3">
      <c r="A45" s="70"/>
      <c r="B45" s="180"/>
      <c r="H45" s="71"/>
    </row>
    <row r="46" spans="1:14" ht="26.25" customHeight="1" x14ac:dyDescent="0.4">
      <c r="A46" s="69" t="s">
        <v>111</v>
      </c>
      <c r="B46" s="193">
        <v>1</v>
      </c>
      <c r="C46" s="58" t="s">
        <v>112</v>
      </c>
      <c r="D46" s="194">
        <v>9</v>
      </c>
      <c r="E46" s="58" t="str">
        <f>B20</f>
        <v>Sodium Chloride</v>
      </c>
      <c r="H46" s="71"/>
    </row>
    <row r="47" spans="1:14" ht="18.75" x14ac:dyDescent="0.3">
      <c r="A47" s="69"/>
      <c r="B47" s="178"/>
      <c r="H47" s="71"/>
    </row>
    <row r="48" spans="1:14" ht="26.25" customHeight="1" x14ac:dyDescent="0.4">
      <c r="A48" s="63" t="s">
        <v>113</v>
      </c>
      <c r="B48" s="195">
        <v>5.8440000000000003</v>
      </c>
      <c r="C48" s="52" t="str">
        <f>B20</f>
        <v>Sodium Chloride</v>
      </c>
      <c r="H48" s="71"/>
    </row>
    <row r="49" spans="1:10" ht="19.5" customHeight="1" x14ac:dyDescent="0.3">
      <c r="A49" s="52"/>
      <c r="B49" s="52"/>
      <c r="C49" s="52"/>
      <c r="D49" s="52"/>
      <c r="H49" s="71"/>
    </row>
    <row r="50" spans="1:10" ht="19.5" customHeight="1" x14ac:dyDescent="0.3">
      <c r="C50" s="52"/>
      <c r="D50" s="52"/>
      <c r="E50" s="52"/>
      <c r="F50" s="52"/>
      <c r="G50" s="532" t="s">
        <v>114</v>
      </c>
      <c r="H50" s="533"/>
      <c r="J50" s="166"/>
    </row>
    <row r="51" spans="1:10" ht="19.5" customHeight="1" x14ac:dyDescent="0.3">
      <c r="A51" s="125" t="s">
        <v>115</v>
      </c>
      <c r="B51" s="72" t="s">
        <v>116</v>
      </c>
      <c r="C51" s="72" t="s">
        <v>117</v>
      </c>
      <c r="D51" s="72" t="s">
        <v>118</v>
      </c>
      <c r="E51" s="72" t="s">
        <v>119</v>
      </c>
      <c r="F51" s="140" t="s">
        <v>120</v>
      </c>
      <c r="G51" s="72" t="s">
        <v>121</v>
      </c>
      <c r="H51" s="72" t="s">
        <v>122</v>
      </c>
      <c r="I51" s="192" t="s">
        <v>123</v>
      </c>
      <c r="J51" s="126"/>
    </row>
    <row r="52" spans="1:10" ht="26.25" customHeight="1" x14ac:dyDescent="0.4">
      <c r="A52" s="127" t="s">
        <v>106</v>
      </c>
      <c r="B52" s="130">
        <v>1</v>
      </c>
      <c r="C52" s="184">
        <v>1.5369999999999999</v>
      </c>
      <c r="D52" s="134">
        <v>0</v>
      </c>
      <c r="E52" s="187">
        <f>IF(ISBLANK(B52),"-",C52-$D$56)</f>
        <v>1.5369999999999999</v>
      </c>
      <c r="F52" s="143">
        <f>IF(ISBLANK(B52), "-",E52*$G$38)</f>
        <v>1.519717871588341</v>
      </c>
      <c r="G52" s="161">
        <f>IF(ISBLANK(B52),"-",F52*$B$48)</f>
        <v>8.881231241562265</v>
      </c>
      <c r="H52" s="142">
        <f>IF(ISBLANK(B52),"-",G52*$B$46/B52)</f>
        <v>8.881231241562265</v>
      </c>
      <c r="I52" s="172">
        <f>IF(ISBLANK(B52),"-",H52/$D$46)</f>
        <v>0.98680347128469614</v>
      </c>
      <c r="J52" s="167"/>
    </row>
    <row r="53" spans="1:10" ht="26.25" customHeight="1" x14ac:dyDescent="0.4">
      <c r="A53" s="128" t="s">
        <v>107</v>
      </c>
      <c r="B53" s="131">
        <v>1</v>
      </c>
      <c r="C53" s="185">
        <v>1.57</v>
      </c>
      <c r="D53" s="135">
        <v>0</v>
      </c>
      <c r="E53" s="188">
        <f>IF(ISBLANK(B53),"-",C53-$D$56)</f>
        <v>1.57</v>
      </c>
      <c r="F53" s="144">
        <f>IF(ISBLANK(B53), "-",E53*$G$38)</f>
        <v>1.5523468174324631</v>
      </c>
      <c r="G53" s="162">
        <f>IF(ISBLANK(B53),"-",F53*$B$48)</f>
        <v>9.0719148010753141</v>
      </c>
      <c r="H53" s="165">
        <f>IF(ISBLANK(B53),"-",G53*$B$46/B53)</f>
        <v>9.0719148010753141</v>
      </c>
      <c r="I53" s="173">
        <f>IF(ISBLANK(B53),"-",H53/$D$46)</f>
        <v>1.0079905334528128</v>
      </c>
      <c r="J53" s="167"/>
    </row>
    <row r="54" spans="1:10" ht="26.25" customHeight="1" x14ac:dyDescent="0.4">
      <c r="A54" s="128" t="s">
        <v>108</v>
      </c>
      <c r="B54" s="131">
        <v>1</v>
      </c>
      <c r="C54" s="185">
        <v>1.5409999999999999</v>
      </c>
      <c r="D54" s="135">
        <v>0</v>
      </c>
      <c r="E54" s="188">
        <f>IF(ISBLANK(B54),"-",C54-$D$56)</f>
        <v>1.5409999999999999</v>
      </c>
      <c r="F54" s="144">
        <f>IF(ISBLANK(B54), "-",E54*$G$38)</f>
        <v>1.5236728953270224</v>
      </c>
      <c r="G54" s="162">
        <f>IF(ISBLANK(B54),"-",F54*$B$48)</f>
        <v>8.9043444002911194</v>
      </c>
      <c r="H54" s="165">
        <f>IF(ISBLANK(B54),"-",G54*$B$46/B54)</f>
        <v>8.9043444002911194</v>
      </c>
      <c r="I54" s="173">
        <f>IF(ISBLANK(B54),"-",H54/$D$46)</f>
        <v>0.98937160003234659</v>
      </c>
      <c r="J54" s="167"/>
    </row>
    <row r="55" spans="1:10" ht="27" customHeight="1" x14ac:dyDescent="0.4">
      <c r="A55" s="129" t="s">
        <v>109</v>
      </c>
      <c r="B55" s="132"/>
      <c r="C55" s="186"/>
      <c r="D55" s="136"/>
      <c r="E55" s="146" t="str">
        <f>IF(ISBLANK(B55),"-",C55-$D$56)</f>
        <v>-</v>
      </c>
      <c r="F55" s="145" t="str">
        <f>IF(ISBLANK(B55), "-",E55*$G$38)</f>
        <v>-</v>
      </c>
      <c r="G55" s="163" t="str">
        <f>IF(ISBLANK(B55),"-",F55*$B$48)</f>
        <v>-</v>
      </c>
      <c r="H55" s="175" t="str">
        <f>IF(ISBLANK(B55),"-",G55*$B$46/B55)</f>
        <v>-</v>
      </c>
      <c r="I55" s="173" t="str">
        <f>IF(ISBLANK(B55),"-",H55/$D$46)</f>
        <v>-</v>
      </c>
      <c r="J55" s="168"/>
    </row>
    <row r="56" spans="1:10" ht="26.25" customHeight="1" x14ac:dyDescent="0.4">
      <c r="C56" s="100" t="s">
        <v>110</v>
      </c>
      <c r="D56" s="133">
        <f>AVERAGE(D52:D55)</f>
        <v>0</v>
      </c>
      <c r="F56" s="100" t="s">
        <v>110</v>
      </c>
      <c r="G56" s="141">
        <f>AVERAGE(G52:G55)</f>
        <v>8.9524968143095656</v>
      </c>
      <c r="H56" s="189">
        <f>AVERAGE(H52:H55)</f>
        <v>8.9524968143095656</v>
      </c>
      <c r="I56" s="174">
        <f>AVERAGE(I52:I55)</f>
        <v>0.99472186825661846</v>
      </c>
      <c r="J56" s="169"/>
    </row>
    <row r="57" spans="1:10" ht="26.25" customHeight="1" x14ac:dyDescent="0.4">
      <c r="C57" s="101" t="s">
        <v>69</v>
      </c>
      <c r="D57" s="102" t="str">
        <f>IF(D56=0,"-",STDEV(D52:D55)/D56)</f>
        <v>-</v>
      </c>
      <c r="F57" s="101" t="s">
        <v>69</v>
      </c>
      <c r="G57" s="164"/>
      <c r="H57" s="190">
        <f>STDEV(H52:H55)/H56</f>
        <v>1.1623874921893446E-2</v>
      </c>
      <c r="I57" s="138">
        <f>STDEV(I52:I55)/I56</f>
        <v>1.1623874921893478E-2</v>
      </c>
      <c r="J57" s="170"/>
    </row>
    <row r="58" spans="1:10" ht="27" customHeight="1" x14ac:dyDescent="0.4">
      <c r="C58" s="103" t="s">
        <v>18</v>
      </c>
      <c r="D58" s="104">
        <f>COUNT(D52:D55)</f>
        <v>3</v>
      </c>
      <c r="F58" s="103" t="s">
        <v>18</v>
      </c>
      <c r="G58" s="139">
        <f>COUNT(G52:G55)</f>
        <v>3</v>
      </c>
      <c r="H58" s="191">
        <f>COUNT(H52:H55)</f>
        <v>3</v>
      </c>
      <c r="I58" s="139">
        <f>COUNT(I52:I55)</f>
        <v>3</v>
      </c>
      <c r="J58" s="171"/>
    </row>
    <row r="59" spans="1:10" ht="18.75" x14ac:dyDescent="0.3">
      <c r="H59" s="71"/>
      <c r="J59" s="54"/>
    </row>
    <row r="60" spans="1:10" ht="18.75" x14ac:dyDescent="0.3">
      <c r="H60" s="71"/>
    </row>
    <row r="61" spans="1:10" ht="19.5" customHeight="1" x14ac:dyDescent="0.3">
      <c r="A61" s="57"/>
      <c r="B61" s="57"/>
      <c r="C61" s="76"/>
      <c r="D61" s="76"/>
      <c r="E61" s="76"/>
      <c r="F61" s="76"/>
      <c r="G61" s="76"/>
      <c r="H61" s="76"/>
    </row>
    <row r="62" spans="1:10" ht="18.75" x14ac:dyDescent="0.3">
      <c r="B62" s="504" t="s">
        <v>24</v>
      </c>
      <c r="C62" s="504"/>
      <c r="E62" s="85" t="s">
        <v>25</v>
      </c>
      <c r="F62" s="77"/>
      <c r="G62" s="504" t="s">
        <v>26</v>
      </c>
      <c r="H62" s="504"/>
    </row>
    <row r="63" spans="1:10" ht="83.25" customHeight="1" x14ac:dyDescent="0.3">
      <c r="A63" s="78" t="s">
        <v>27</v>
      </c>
      <c r="B63" s="79"/>
      <c r="C63" s="79"/>
      <c r="E63" s="80"/>
      <c r="F63" s="75"/>
      <c r="G63" s="81"/>
      <c r="H63" s="81"/>
    </row>
    <row r="64" spans="1:10" ht="84" customHeight="1" x14ac:dyDescent="0.3">
      <c r="A64" s="78" t="s">
        <v>28</v>
      </c>
      <c r="B64" s="82"/>
      <c r="C64" s="82"/>
      <c r="E64" s="83"/>
      <c r="F64" s="75"/>
      <c r="G64" s="84"/>
      <c r="H64" s="84"/>
    </row>
    <row r="65" spans="1:9" ht="18.75" x14ac:dyDescent="0.3">
      <c r="A65" s="73"/>
      <c r="B65" s="73"/>
      <c r="C65" s="66"/>
      <c r="D65" s="66"/>
      <c r="E65" s="66"/>
      <c r="F65" s="74"/>
      <c r="G65" s="66"/>
      <c r="H65" s="66"/>
      <c r="I65" s="55"/>
    </row>
    <row r="66" spans="1:9" ht="18.75" x14ac:dyDescent="0.3">
      <c r="A66" s="73"/>
      <c r="B66" s="73"/>
      <c r="C66" s="66"/>
      <c r="D66" s="66"/>
      <c r="E66" s="66"/>
      <c r="F66" s="74"/>
      <c r="G66" s="66"/>
      <c r="H66" s="66"/>
      <c r="I66" s="55"/>
    </row>
    <row r="67" spans="1:9" ht="18.75" x14ac:dyDescent="0.3">
      <c r="A67" s="73"/>
      <c r="B67" s="73"/>
      <c r="C67" s="66"/>
      <c r="D67" s="66"/>
      <c r="E67" s="66"/>
      <c r="F67" s="74"/>
      <c r="G67" s="66"/>
      <c r="H67" s="66"/>
      <c r="I67" s="55"/>
    </row>
    <row r="68" spans="1:9" ht="18.75" x14ac:dyDescent="0.3">
      <c r="A68" s="73"/>
      <c r="B68" s="73"/>
      <c r="C68" s="66"/>
      <c r="D68" s="66"/>
      <c r="E68" s="66"/>
      <c r="F68" s="74"/>
      <c r="G68" s="66"/>
      <c r="H68" s="66"/>
      <c r="I68" s="55"/>
    </row>
    <row r="69" spans="1:9" ht="18.75" x14ac:dyDescent="0.3">
      <c r="A69" s="73"/>
      <c r="B69" s="73"/>
      <c r="C69" s="66"/>
      <c r="D69" s="66"/>
      <c r="E69" s="66"/>
      <c r="F69" s="74"/>
      <c r="G69" s="66"/>
      <c r="H69" s="66"/>
      <c r="I69" s="55"/>
    </row>
    <row r="70" spans="1:9" ht="18.75" x14ac:dyDescent="0.3">
      <c r="A70" s="73"/>
      <c r="B70" s="73"/>
      <c r="C70" s="66"/>
      <c r="D70" s="66"/>
      <c r="E70" s="66"/>
      <c r="F70" s="74"/>
      <c r="G70" s="66"/>
      <c r="H70" s="66"/>
      <c r="I70" s="55"/>
    </row>
    <row r="71" spans="1:9" ht="18.75" x14ac:dyDescent="0.3">
      <c r="A71" s="73"/>
      <c r="B71" s="73"/>
      <c r="C71" s="66"/>
      <c r="D71" s="66"/>
      <c r="E71" s="66"/>
      <c r="F71" s="74"/>
      <c r="G71" s="66"/>
      <c r="H71" s="66"/>
      <c r="I71" s="55"/>
    </row>
    <row r="72" spans="1:9" ht="18.75" x14ac:dyDescent="0.3">
      <c r="A72" s="73"/>
      <c r="B72" s="73"/>
      <c r="C72" s="66"/>
      <c r="D72" s="66"/>
      <c r="E72" s="66"/>
      <c r="F72" s="74"/>
      <c r="G72" s="66"/>
      <c r="H72" s="66"/>
      <c r="I72" s="55"/>
    </row>
    <row r="73" spans="1:9" ht="18.75" x14ac:dyDescent="0.3">
      <c r="A73" s="73"/>
      <c r="B73" s="73"/>
      <c r="C73" s="66"/>
      <c r="D73" s="66"/>
      <c r="E73" s="66"/>
      <c r="F73" s="74"/>
      <c r="G73" s="66"/>
      <c r="H73" s="66"/>
      <c r="I73" s="55"/>
    </row>
    <row r="250" spans="1:1" x14ac:dyDescent="0.3">
      <c r="A250" s="6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5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8" zoomScale="50" zoomScaleNormal="50" zoomScalePageLayoutView="85" workbookViewId="0">
      <selection activeCell="I63" sqref="I63"/>
    </sheetView>
  </sheetViews>
  <sheetFormatPr defaultRowHeight="18.75" x14ac:dyDescent="0.3"/>
  <cols>
    <col min="1" max="1" width="42.85546875" style="380" customWidth="1"/>
    <col min="2" max="2" width="34.85546875" style="380" customWidth="1"/>
    <col min="3" max="3" width="33.28515625" style="380" customWidth="1"/>
    <col min="4" max="4" width="30.5703125" style="380" customWidth="1"/>
    <col min="5" max="5" width="33.5703125" style="380" customWidth="1"/>
    <col min="6" max="6" width="39.85546875" style="380" customWidth="1"/>
    <col min="7" max="7" width="31.7109375" style="380" customWidth="1"/>
    <col min="8" max="8" width="31.140625" style="380" customWidth="1"/>
    <col min="9" max="9" width="32.28515625" style="379" customWidth="1"/>
    <col min="10" max="10" width="22.28515625" style="379" customWidth="1"/>
    <col min="11" max="11" width="19.5703125" style="379" customWidth="1"/>
    <col min="12" max="12" width="21.140625" style="379" customWidth="1"/>
    <col min="13" max="13" width="9.140625" style="379" customWidth="1"/>
    <col min="14" max="16384" width="9.140625" style="488"/>
  </cols>
  <sheetData>
    <row r="1" spans="1:9" ht="15" x14ac:dyDescent="0.3">
      <c r="A1" s="538" t="s">
        <v>93</v>
      </c>
      <c r="B1" s="538"/>
      <c r="C1" s="538"/>
      <c r="D1" s="538"/>
      <c r="E1" s="538"/>
      <c r="F1" s="538"/>
      <c r="G1" s="538"/>
      <c r="H1" s="538"/>
      <c r="I1" s="538"/>
    </row>
    <row r="2" spans="1:9" ht="15" x14ac:dyDescent="0.3">
      <c r="A2" s="538"/>
      <c r="B2" s="538"/>
      <c r="C2" s="538"/>
      <c r="D2" s="538"/>
      <c r="E2" s="538"/>
      <c r="F2" s="538"/>
      <c r="G2" s="538"/>
      <c r="H2" s="538"/>
      <c r="I2" s="538"/>
    </row>
    <row r="3" spans="1:9" ht="15" x14ac:dyDescent="0.3">
      <c r="A3" s="538"/>
      <c r="B3" s="538"/>
      <c r="C3" s="538"/>
      <c r="D3" s="538"/>
      <c r="E3" s="538"/>
      <c r="F3" s="538"/>
      <c r="G3" s="538"/>
      <c r="H3" s="538"/>
      <c r="I3" s="538"/>
    </row>
    <row r="4" spans="1:9" ht="15" x14ac:dyDescent="0.3">
      <c r="A4" s="538"/>
      <c r="B4" s="538"/>
      <c r="C4" s="538"/>
      <c r="D4" s="538"/>
      <c r="E4" s="538"/>
      <c r="F4" s="538"/>
      <c r="G4" s="538"/>
      <c r="H4" s="538"/>
      <c r="I4" s="538"/>
    </row>
    <row r="5" spans="1:9" ht="15" x14ac:dyDescent="0.3">
      <c r="A5" s="538"/>
      <c r="B5" s="538"/>
      <c r="C5" s="538"/>
      <c r="D5" s="538"/>
      <c r="E5" s="538"/>
      <c r="F5" s="538"/>
      <c r="G5" s="538"/>
      <c r="H5" s="538"/>
      <c r="I5" s="538"/>
    </row>
    <row r="6" spans="1:9" ht="15" x14ac:dyDescent="0.3">
      <c r="A6" s="538"/>
      <c r="B6" s="538"/>
      <c r="C6" s="538"/>
      <c r="D6" s="538"/>
      <c r="E6" s="538"/>
      <c r="F6" s="538"/>
      <c r="G6" s="538"/>
      <c r="H6" s="538"/>
      <c r="I6" s="538"/>
    </row>
    <row r="7" spans="1:9" ht="15" x14ac:dyDescent="0.3">
      <c r="A7" s="538"/>
      <c r="B7" s="538"/>
      <c r="C7" s="538"/>
      <c r="D7" s="538"/>
      <c r="E7" s="538"/>
      <c r="F7" s="538"/>
      <c r="G7" s="538"/>
      <c r="H7" s="538"/>
      <c r="I7" s="538"/>
    </row>
    <row r="8" spans="1:9" ht="15" x14ac:dyDescent="0.3">
      <c r="A8" s="539" t="s">
        <v>30</v>
      </c>
      <c r="B8" s="539"/>
      <c r="C8" s="539"/>
      <c r="D8" s="539"/>
      <c r="E8" s="539"/>
      <c r="F8" s="539"/>
      <c r="G8" s="539"/>
      <c r="H8" s="539"/>
      <c r="I8" s="539"/>
    </row>
    <row r="9" spans="1:9" ht="15" x14ac:dyDescent="0.3">
      <c r="A9" s="539"/>
      <c r="B9" s="539"/>
      <c r="C9" s="539"/>
      <c r="D9" s="539"/>
      <c r="E9" s="539"/>
      <c r="F9" s="539"/>
      <c r="G9" s="539"/>
      <c r="H9" s="539"/>
      <c r="I9" s="539"/>
    </row>
    <row r="10" spans="1:9" ht="15" x14ac:dyDescent="0.3">
      <c r="A10" s="539"/>
      <c r="B10" s="539"/>
      <c r="C10" s="539"/>
      <c r="D10" s="539"/>
      <c r="E10" s="539"/>
      <c r="F10" s="539"/>
      <c r="G10" s="539"/>
      <c r="H10" s="539"/>
      <c r="I10" s="539"/>
    </row>
    <row r="11" spans="1:9" ht="15" x14ac:dyDescent="0.3">
      <c r="A11" s="539"/>
      <c r="B11" s="539"/>
      <c r="C11" s="539"/>
      <c r="D11" s="539"/>
      <c r="E11" s="539"/>
      <c r="F11" s="539"/>
      <c r="G11" s="539"/>
      <c r="H11" s="539"/>
      <c r="I11" s="539"/>
    </row>
    <row r="12" spans="1:9" ht="15" x14ac:dyDescent="0.3">
      <c r="A12" s="539"/>
      <c r="B12" s="539"/>
      <c r="C12" s="539"/>
      <c r="D12" s="539"/>
      <c r="E12" s="539"/>
      <c r="F12" s="539"/>
      <c r="G12" s="539"/>
      <c r="H12" s="539"/>
      <c r="I12" s="539"/>
    </row>
    <row r="13" spans="1:9" ht="15" x14ac:dyDescent="0.3">
      <c r="A13" s="539"/>
      <c r="B13" s="539"/>
      <c r="C13" s="539"/>
      <c r="D13" s="539"/>
      <c r="E13" s="539"/>
      <c r="F13" s="539"/>
      <c r="G13" s="539"/>
      <c r="H13" s="539"/>
      <c r="I13" s="539"/>
    </row>
    <row r="14" spans="1:9" ht="15" x14ac:dyDescent="0.3">
      <c r="A14" s="539"/>
      <c r="B14" s="539"/>
      <c r="C14" s="539"/>
      <c r="D14" s="539"/>
      <c r="E14" s="539"/>
      <c r="F14" s="539"/>
      <c r="G14" s="539"/>
      <c r="H14" s="539"/>
      <c r="I14" s="539"/>
    </row>
    <row r="15" spans="1:9" ht="19.5" customHeight="1" thickBot="1" x14ac:dyDescent="0.35"/>
    <row r="16" spans="1:9" ht="19.5" customHeight="1" thickBot="1" x14ac:dyDescent="0.35">
      <c r="A16" s="540" t="s">
        <v>31</v>
      </c>
      <c r="B16" s="541"/>
      <c r="C16" s="541"/>
      <c r="D16" s="541"/>
      <c r="E16" s="541"/>
      <c r="F16" s="541"/>
      <c r="G16" s="541"/>
      <c r="H16" s="542"/>
    </row>
    <row r="17" spans="1:8" x14ac:dyDescent="0.3">
      <c r="A17" s="543" t="s">
        <v>32</v>
      </c>
      <c r="B17" s="543"/>
      <c r="C17" s="543"/>
      <c r="D17" s="543"/>
      <c r="E17" s="543"/>
      <c r="F17" s="543"/>
      <c r="G17" s="543"/>
      <c r="H17" s="543"/>
    </row>
    <row r="18" spans="1:8" ht="26.25" customHeight="1" x14ac:dyDescent="0.3">
      <c r="A18" s="381" t="s">
        <v>33</v>
      </c>
      <c r="B18" s="382" t="s">
        <v>5</v>
      </c>
      <c r="C18" s="383"/>
      <c r="D18" s="383"/>
      <c r="E18" s="383"/>
    </row>
    <row r="19" spans="1:8" ht="26.25" customHeight="1" x14ac:dyDescent="0.3">
      <c r="A19" s="381" t="s">
        <v>34</v>
      </c>
      <c r="B19" s="384" t="s">
        <v>7</v>
      </c>
      <c r="C19" s="385">
        <v>26</v>
      </c>
    </row>
    <row r="20" spans="1:8" ht="26.25" customHeight="1" x14ac:dyDescent="0.3">
      <c r="A20" s="381" t="s">
        <v>35</v>
      </c>
      <c r="B20" s="384" t="s">
        <v>149</v>
      </c>
    </row>
    <row r="21" spans="1:8" ht="26.25" customHeight="1" x14ac:dyDescent="0.4">
      <c r="A21" s="381" t="s">
        <v>37</v>
      </c>
      <c r="B21" s="386">
        <v>42679</v>
      </c>
    </row>
    <row r="22" spans="1:8" ht="26.25" customHeight="1" x14ac:dyDescent="0.4">
      <c r="A22" s="381" t="s">
        <v>38</v>
      </c>
      <c r="B22" s="386">
        <v>42681</v>
      </c>
    </row>
    <row r="23" spans="1:8" x14ac:dyDescent="0.3">
      <c r="A23" s="381"/>
      <c r="B23" s="387"/>
    </row>
    <row r="24" spans="1:8" x14ac:dyDescent="0.3">
      <c r="A24" s="388" t="s">
        <v>1</v>
      </c>
      <c r="B24" s="389" t="s">
        <v>124</v>
      </c>
    </row>
    <row r="25" spans="1:8" x14ac:dyDescent="0.3">
      <c r="A25" s="388"/>
      <c r="B25" s="389"/>
    </row>
    <row r="26" spans="1:8" ht="26.25" customHeight="1" x14ac:dyDescent="0.4">
      <c r="A26" s="390" t="s">
        <v>125</v>
      </c>
      <c r="B26" s="391" t="s">
        <v>153</v>
      </c>
      <c r="C26" s="392"/>
      <c r="D26" s="385"/>
      <c r="E26" s="385"/>
      <c r="F26" s="385"/>
    </row>
    <row r="27" spans="1:8" ht="26.25" customHeight="1" x14ac:dyDescent="0.4">
      <c r="A27" s="393" t="s">
        <v>4</v>
      </c>
      <c r="B27" s="394" t="s">
        <v>150</v>
      </c>
      <c r="C27" s="392"/>
      <c r="D27" s="395"/>
      <c r="E27" s="395"/>
      <c r="F27" s="395"/>
      <c r="G27" s="395"/>
    </row>
    <row r="28" spans="1:8" ht="26.25" customHeight="1" x14ac:dyDescent="0.4">
      <c r="A28" s="396" t="s">
        <v>95</v>
      </c>
      <c r="B28" s="392">
        <v>105.989</v>
      </c>
      <c r="C28" s="397"/>
      <c r="D28" s="398"/>
      <c r="E28" s="398"/>
      <c r="F28" s="398"/>
      <c r="G28" s="398"/>
    </row>
    <row r="29" spans="1:8" ht="26.25" customHeight="1" x14ac:dyDescent="0.4">
      <c r="A29" s="399" t="s">
        <v>96</v>
      </c>
      <c r="B29" s="400">
        <v>0.5</v>
      </c>
      <c r="C29" s="397"/>
      <c r="D29" s="398"/>
      <c r="E29" s="398"/>
      <c r="F29" s="398"/>
      <c r="G29" s="398"/>
    </row>
    <row r="30" spans="1:8" x14ac:dyDescent="0.3">
      <c r="A30" s="399"/>
      <c r="E30" s="398"/>
      <c r="F30" s="398"/>
      <c r="G30" s="398"/>
    </row>
    <row r="31" spans="1:8" ht="26.25" customHeight="1" x14ac:dyDescent="0.4">
      <c r="A31" s="401" t="s">
        <v>97</v>
      </c>
      <c r="B31" s="392">
        <v>2</v>
      </c>
      <c r="C31" s="402" t="s">
        <v>98</v>
      </c>
      <c r="D31" s="392">
        <v>1</v>
      </c>
      <c r="E31" s="395"/>
      <c r="F31" s="385"/>
    </row>
    <row r="32" spans="1:8" ht="19.5" customHeight="1" thickBot="1" x14ac:dyDescent="0.35">
      <c r="A32" s="399"/>
      <c r="B32" s="403"/>
      <c r="C32" s="385"/>
      <c r="D32" s="385"/>
      <c r="E32" s="385"/>
      <c r="F32" s="385"/>
    </row>
    <row r="33" spans="1:8" ht="19.5" customHeight="1" thickBot="1" x14ac:dyDescent="0.35">
      <c r="A33" s="404" t="s">
        <v>99</v>
      </c>
      <c r="B33" s="404" t="s">
        <v>100</v>
      </c>
      <c r="C33" s="405" t="s">
        <v>101</v>
      </c>
      <c r="D33" s="404" t="s">
        <v>102</v>
      </c>
      <c r="E33" s="406" t="s">
        <v>103</v>
      </c>
      <c r="F33" s="406" t="s">
        <v>104</v>
      </c>
      <c r="G33" s="404" t="s">
        <v>105</v>
      </c>
    </row>
    <row r="34" spans="1:8" ht="26.25" customHeight="1" x14ac:dyDescent="0.4">
      <c r="A34" s="407" t="s">
        <v>106</v>
      </c>
      <c r="B34" s="408">
        <v>100.21</v>
      </c>
      <c r="C34" s="409">
        <f>IF(ISBLANK(B34), "-",B34/$B$28*($B$31/$D$31))</f>
        <v>1.8909509477398596</v>
      </c>
      <c r="D34" s="410">
        <v>4.0999999999999996</v>
      </c>
      <c r="E34" s="411">
        <f>IF(ISBLANK(B34), "-",C34/D34)</f>
        <v>0.4612075482292341</v>
      </c>
      <c r="F34" s="412">
        <f>IF(ISBLANK(B34), "-",(E34-$B$29)/$B$29)</f>
        <v>-7.7584903541531802E-2</v>
      </c>
      <c r="G34" s="413">
        <f>IF(ISBLANK(B34),"-",E34/$B$29)</f>
        <v>0.9224150964584682</v>
      </c>
    </row>
    <row r="35" spans="1:8" ht="26.25" customHeight="1" x14ac:dyDescent="0.4">
      <c r="A35" s="414" t="s">
        <v>107</v>
      </c>
      <c r="B35" s="415">
        <v>100.36</v>
      </c>
      <c r="C35" s="416">
        <f>IF(ISBLANK(B35), "-",B35/$B$28*($B$31/$D$31))</f>
        <v>1.8937814301484115</v>
      </c>
      <c r="D35" s="417">
        <v>4.0999999999999996</v>
      </c>
      <c r="E35" s="418">
        <f>IF(ISBLANK(B35), "-",C35/D35)</f>
        <v>0.4618979097922955</v>
      </c>
      <c r="F35" s="419">
        <f>IF(ISBLANK(B35), "-",(E35-$B$29)/$B$29)</f>
        <v>-7.6204180415408995E-2</v>
      </c>
      <c r="G35" s="420">
        <f>IF(ISBLANK(B35),"-",E35/$B$29)</f>
        <v>0.923795819584591</v>
      </c>
    </row>
    <row r="36" spans="1:8" ht="26.25" customHeight="1" x14ac:dyDescent="0.4">
      <c r="A36" s="414" t="s">
        <v>108</v>
      </c>
      <c r="B36" s="415">
        <v>100.39</v>
      </c>
      <c r="C36" s="416">
        <f>IF(ISBLANK(B36), "-",B36/$B$28*($B$31/$D$31))</f>
        <v>1.894347526630122</v>
      </c>
      <c r="D36" s="417">
        <v>4.0999999999999996</v>
      </c>
      <c r="E36" s="418">
        <f>IF(ISBLANK(B36), "-",C36/D36)</f>
        <v>0.46203598210490782</v>
      </c>
      <c r="F36" s="419">
        <f>IF(ISBLANK(B36), "-",(E36-$B$29)/$B$29)</f>
        <v>-7.5928035790184367E-2</v>
      </c>
      <c r="G36" s="420">
        <f>IF(ISBLANK(B36),"-",E36/$B$29)</f>
        <v>0.92407196420981563</v>
      </c>
    </row>
    <row r="37" spans="1:8" ht="27" customHeight="1" thickBot="1" x14ac:dyDescent="0.45">
      <c r="A37" s="421" t="s">
        <v>109</v>
      </c>
      <c r="B37" s="422"/>
      <c r="C37" s="423" t="str">
        <f>IF(ISBLANK(B37), "-",B37/$B$28*($B$31/$D$31))</f>
        <v>-</v>
      </c>
      <c r="D37" s="424"/>
      <c r="E37" s="425" t="str">
        <f>IF(ISBLANK(B37), "-",C37/D37)</f>
        <v>-</v>
      </c>
      <c r="F37" s="426" t="str">
        <f>IF(ISBLANK(B37), "-",(E37-$B$29)/$B$29)</f>
        <v>-</v>
      </c>
      <c r="G37" s="427" t="str">
        <f>IF(ISBLANK(B37),"-",E37/$B$29)</f>
        <v>-</v>
      </c>
    </row>
    <row r="38" spans="1:8" ht="19.5" customHeight="1" thickBot="1" x14ac:dyDescent="0.35">
      <c r="A38" s="395"/>
      <c r="B38" s="395"/>
      <c r="C38" s="395"/>
      <c r="D38" s="428" t="s">
        <v>110</v>
      </c>
      <c r="E38" s="429">
        <f>AVERAGE(E34:E37)</f>
        <v>0.46171381337547918</v>
      </c>
      <c r="F38" s="430">
        <f>AVERAGE(F34:F37)</f>
        <v>-7.6572373249041717E-2</v>
      </c>
      <c r="G38" s="431">
        <f>AVERAGE(G34:G37)</f>
        <v>0.92342762675095835</v>
      </c>
    </row>
    <row r="39" spans="1:8" x14ac:dyDescent="0.3">
      <c r="A39" s="395"/>
      <c r="B39" s="432"/>
      <c r="C39" s="433"/>
      <c r="D39" s="434" t="s">
        <v>69</v>
      </c>
      <c r="E39" s="435">
        <f>STDEV(E34:E36)/E38</f>
        <v>9.612889514546408E-4</v>
      </c>
      <c r="F39" s="436"/>
      <c r="G39" s="395"/>
    </row>
    <row r="40" spans="1:8" ht="19.5" customHeight="1" thickBot="1" x14ac:dyDescent="0.35">
      <c r="A40" s="395"/>
      <c r="B40" s="432"/>
      <c r="C40" s="433"/>
      <c r="D40" s="437" t="s">
        <v>18</v>
      </c>
      <c r="E40" s="438">
        <f>COUNT(E34:E37)</f>
        <v>3</v>
      </c>
      <c r="F40" s="439"/>
      <c r="G40" s="395"/>
    </row>
    <row r="41" spans="1:8" x14ac:dyDescent="0.3">
      <c r="A41" s="388"/>
      <c r="B41" s="389"/>
    </row>
    <row r="42" spans="1:8" x14ac:dyDescent="0.3">
      <c r="A42" s="388"/>
      <c r="B42" s="389"/>
    </row>
    <row r="44" spans="1:8" x14ac:dyDescent="0.3">
      <c r="A44" s="440" t="s">
        <v>1</v>
      </c>
      <c r="B44" s="389" t="s">
        <v>70</v>
      </c>
      <c r="G44" s="380" t="s">
        <v>151</v>
      </c>
    </row>
    <row r="45" spans="1:8" x14ac:dyDescent="0.3">
      <c r="A45" s="399" t="s">
        <v>111</v>
      </c>
      <c r="B45" s="441">
        <v>1</v>
      </c>
      <c r="C45" s="385" t="s">
        <v>112</v>
      </c>
      <c r="D45" s="442">
        <v>50</v>
      </c>
      <c r="E45" s="385" t="s">
        <v>149</v>
      </c>
      <c r="H45" s="443"/>
    </row>
    <row r="46" spans="1:8" x14ac:dyDescent="0.3">
      <c r="A46" s="399"/>
      <c r="H46" s="443"/>
    </row>
    <row r="47" spans="1:8" ht="26.25" customHeight="1" x14ac:dyDescent="0.4">
      <c r="A47" s="399" t="s">
        <v>126</v>
      </c>
      <c r="B47" s="444" t="str">
        <f>B26</f>
        <v>0.5 M Hydrochloric Acid VS</v>
      </c>
      <c r="C47" s="439" t="s">
        <v>127</v>
      </c>
      <c r="D47" s="392">
        <v>42</v>
      </c>
      <c r="E47" s="395" t="str">
        <f>B20</f>
        <v>Sodium Bicarbonate</v>
      </c>
      <c r="H47" s="443"/>
    </row>
    <row r="48" spans="1:8" ht="19.5" customHeight="1" thickBot="1" x14ac:dyDescent="0.35">
      <c r="A48" s="395"/>
      <c r="B48" s="395"/>
      <c r="C48" s="395"/>
      <c r="D48" s="395"/>
      <c r="H48" s="443"/>
    </row>
    <row r="49" spans="1:10" ht="19.5" customHeight="1" thickBot="1" x14ac:dyDescent="0.35">
      <c r="C49" s="395"/>
      <c r="D49" s="395"/>
      <c r="E49" s="395"/>
      <c r="F49" s="395"/>
      <c r="G49" s="544" t="s">
        <v>114</v>
      </c>
      <c r="H49" s="545"/>
      <c r="J49" s="445"/>
    </row>
    <row r="50" spans="1:10" ht="19.5" customHeight="1" thickBot="1" x14ac:dyDescent="0.35">
      <c r="A50" s="446" t="s">
        <v>115</v>
      </c>
      <c r="B50" s="404" t="s">
        <v>152</v>
      </c>
      <c r="C50" s="447" t="s">
        <v>117</v>
      </c>
      <c r="D50" s="404" t="s">
        <v>118</v>
      </c>
      <c r="E50" s="404" t="s">
        <v>119</v>
      </c>
      <c r="F50" s="447" t="s">
        <v>120</v>
      </c>
      <c r="G50" s="404" t="s">
        <v>121</v>
      </c>
      <c r="H50" s="404" t="s">
        <v>122</v>
      </c>
      <c r="I50" s="448" t="s">
        <v>123</v>
      </c>
      <c r="J50" s="449"/>
    </row>
    <row r="51" spans="1:10" ht="26.25" customHeight="1" x14ac:dyDescent="0.4">
      <c r="A51" s="450" t="s">
        <v>106</v>
      </c>
      <c r="B51" s="408">
        <v>2</v>
      </c>
      <c r="C51" s="408">
        <v>2.6</v>
      </c>
      <c r="D51" s="408">
        <v>0</v>
      </c>
      <c r="E51" s="451">
        <f t="shared" ref="E51:E53" si="0">IF(ISBLANK(B51),"-",C51-$D$55)</f>
        <v>2.6</v>
      </c>
      <c r="F51" s="452">
        <f>IF(ISBLANK(B51), "-",E51*$G$38)</f>
        <v>2.4009118295524918</v>
      </c>
      <c r="G51" s="453">
        <f>IF(ISBLANK(B51),"-",F51*$D$47)</f>
        <v>100.83829684120465</v>
      </c>
      <c r="H51" s="454">
        <f>IF(ISBLANK(B51),"-",G51*$B$45/B51)</f>
        <v>50.419148420602326</v>
      </c>
      <c r="I51" s="455">
        <f>IF(ISBLANK(B51),"-",H51/$D$45)</f>
        <v>1.0083829684120464</v>
      </c>
      <c r="J51" s="444"/>
    </row>
    <row r="52" spans="1:10" ht="26.25" customHeight="1" x14ac:dyDescent="0.4">
      <c r="A52" s="456" t="s">
        <v>107</v>
      </c>
      <c r="B52" s="415">
        <v>2</v>
      </c>
      <c r="C52" s="415">
        <v>2.6</v>
      </c>
      <c r="D52" s="415">
        <v>0</v>
      </c>
      <c r="E52" s="457">
        <f t="shared" si="0"/>
        <v>2.6</v>
      </c>
      <c r="F52" s="458">
        <f>IF(ISBLANK(B52), "-",E52*$G$38)</f>
        <v>2.4009118295524918</v>
      </c>
      <c r="G52" s="459">
        <f>IF(ISBLANK(B52),"-",F52*$D$47)</f>
        <v>100.83829684120465</v>
      </c>
      <c r="H52" s="460">
        <f>IF(ISBLANK(B52),"-",G52*$B$45/B52)</f>
        <v>50.419148420602326</v>
      </c>
      <c r="I52" s="461">
        <f>IF(ISBLANK(B52),"-",H52/$D$45)</f>
        <v>1.0083829684120464</v>
      </c>
      <c r="J52" s="444"/>
    </row>
    <row r="53" spans="1:10" ht="26.25" customHeight="1" x14ac:dyDescent="0.4">
      <c r="A53" s="456" t="s">
        <v>108</v>
      </c>
      <c r="B53" s="415">
        <v>2</v>
      </c>
      <c r="C53" s="415">
        <v>2.6</v>
      </c>
      <c r="D53" s="415">
        <v>0</v>
      </c>
      <c r="E53" s="457">
        <f t="shared" si="0"/>
        <v>2.6</v>
      </c>
      <c r="F53" s="458">
        <f>IF(ISBLANK(B53), "-",E53*$G$38)</f>
        <v>2.4009118295524918</v>
      </c>
      <c r="G53" s="459">
        <f>IF(ISBLANK(B53),"-",F53*$D$47)</f>
        <v>100.83829684120465</v>
      </c>
      <c r="H53" s="460">
        <f>IF(ISBLANK(B53),"-",G53*$B$45/B53)</f>
        <v>50.419148420602326</v>
      </c>
      <c r="I53" s="461">
        <f>IF(ISBLANK(B53),"-",H53/$D$45)</f>
        <v>1.0083829684120464</v>
      </c>
      <c r="J53" s="444"/>
    </row>
    <row r="54" spans="1:10" ht="27" customHeight="1" thickBot="1" x14ac:dyDescent="0.45">
      <c r="A54" s="462" t="s">
        <v>109</v>
      </c>
      <c r="B54" s="422"/>
      <c r="C54" s="422"/>
      <c r="D54" s="422"/>
      <c r="E54" s="463" t="str">
        <f>IF(ISBLANK(B54),"-",C54-$D$55)</f>
        <v>-</v>
      </c>
      <c r="F54" s="464" t="str">
        <f>IF(ISBLANK(B54), "-",E54*$G$38)</f>
        <v>-</v>
      </c>
      <c r="G54" s="465" t="str">
        <f>IF(ISBLANK(B54),"-",F54*$D$47)</f>
        <v>-</v>
      </c>
      <c r="H54" s="466" t="str">
        <f>IF(ISBLANK(B54),"-",G54*$B$45/B54)</f>
        <v>-</v>
      </c>
      <c r="I54" s="467" t="str">
        <f>IF(ISBLANK(B54),"-",H54/$D$45)</f>
        <v>-</v>
      </c>
      <c r="J54" s="439"/>
    </row>
    <row r="55" spans="1:10" ht="26.25" customHeight="1" x14ac:dyDescent="0.4">
      <c r="C55" s="468" t="s">
        <v>110</v>
      </c>
      <c r="D55" s="469">
        <f>AVERAGE(D51:D54)</f>
        <v>0</v>
      </c>
      <c r="F55" s="468" t="s">
        <v>110</v>
      </c>
      <c r="G55" s="470">
        <f>AVERAGE(G51:G54)</f>
        <v>100.83829684120467</v>
      </c>
      <c r="H55" s="470">
        <f>AVERAGE(H51:H54)</f>
        <v>50.419148420602333</v>
      </c>
      <c r="I55" s="471">
        <f>AVERAGE(I51:I54)</f>
        <v>1.0083829684120464</v>
      </c>
      <c r="J55" s="472"/>
    </row>
    <row r="56" spans="1:10" ht="26.25" customHeight="1" x14ac:dyDescent="0.4">
      <c r="C56" s="434" t="s">
        <v>69</v>
      </c>
      <c r="D56" s="435" t="str">
        <f>IF(D55=0,"-",STDEV(D51:D54)/D55)</f>
        <v>-</v>
      </c>
      <c r="F56" s="434" t="s">
        <v>69</v>
      </c>
      <c r="G56" s="473"/>
      <c r="H56" s="474">
        <f>STDEV(H51:H54)/H55</f>
        <v>1.725998155040508E-16</v>
      </c>
      <c r="I56" s="474">
        <f>STDEV(I51:I54)/I55</f>
        <v>0</v>
      </c>
      <c r="J56" s="475"/>
    </row>
    <row r="57" spans="1:10" ht="27" customHeight="1" thickBot="1" x14ac:dyDescent="0.45">
      <c r="B57" s="380" t="str">
        <f>[1]Uniformity!C46</f>
        <v>% Deviation from mean</v>
      </c>
      <c r="C57" s="437" t="s">
        <v>18</v>
      </c>
      <c r="D57" s="438">
        <f>COUNT(D51:D54)</f>
        <v>3</v>
      </c>
      <c r="F57" s="437" t="s">
        <v>18</v>
      </c>
      <c r="G57" s="476">
        <f>COUNT(G51:G54)</f>
        <v>3</v>
      </c>
      <c r="H57" s="476">
        <f>COUNT(H51:H54)</f>
        <v>3</v>
      </c>
      <c r="I57" s="476">
        <f>COUNT(I51:I54)</f>
        <v>3</v>
      </c>
      <c r="J57" s="477"/>
    </row>
    <row r="58" spans="1:10" x14ac:dyDescent="0.3">
      <c r="H58" s="443"/>
      <c r="I58" s="444"/>
      <c r="J58" s="395"/>
    </row>
    <row r="59" spans="1:10" x14ac:dyDescent="0.3">
      <c r="H59" s="443"/>
    </row>
    <row r="60" spans="1:10" ht="19.5" customHeight="1" thickBot="1" x14ac:dyDescent="0.35">
      <c r="A60" s="478"/>
      <c r="B60" s="478"/>
      <c r="C60" s="479"/>
      <c r="D60" s="479"/>
      <c r="E60" s="479"/>
      <c r="F60" s="479"/>
      <c r="G60" s="479"/>
      <c r="H60" s="479"/>
    </row>
    <row r="61" spans="1:10" x14ac:dyDescent="0.3">
      <c r="B61" s="546" t="s">
        <v>24</v>
      </c>
      <c r="C61" s="546"/>
      <c r="E61" s="480" t="s">
        <v>25</v>
      </c>
      <c r="F61" s="481"/>
      <c r="G61" s="546" t="s">
        <v>26</v>
      </c>
      <c r="H61" s="546"/>
    </row>
    <row r="62" spans="1:10" ht="42" customHeight="1" x14ac:dyDescent="0.3">
      <c r="A62" s="390" t="s">
        <v>27</v>
      </c>
      <c r="B62" s="482" t="s">
        <v>148</v>
      </c>
      <c r="C62" s="482"/>
      <c r="E62" s="489">
        <v>42562</v>
      </c>
      <c r="F62" s="385"/>
      <c r="G62" s="483"/>
      <c r="H62" s="483"/>
    </row>
    <row r="63" spans="1:10" ht="37.5" customHeight="1" x14ac:dyDescent="0.3">
      <c r="A63" s="390" t="s">
        <v>28</v>
      </c>
      <c r="B63" s="484"/>
      <c r="C63" s="484"/>
      <c r="E63" s="485"/>
      <c r="F63" s="385"/>
      <c r="G63" s="486"/>
      <c r="H63" s="486"/>
    </row>
    <row r="64" spans="1:10" x14ac:dyDescent="0.3">
      <c r="A64" s="443"/>
      <c r="B64" s="443"/>
      <c r="C64" s="443"/>
      <c r="D64" s="443"/>
      <c r="E64" s="443"/>
      <c r="F64" s="487"/>
      <c r="G64" s="443"/>
      <c r="H64" s="443"/>
      <c r="I64" s="395"/>
    </row>
    <row r="65" spans="1:9" x14ac:dyDescent="0.3">
      <c r="A65" s="443"/>
      <c r="B65" s="443"/>
      <c r="C65" s="443"/>
      <c r="D65" s="443"/>
      <c r="E65" s="443"/>
      <c r="F65" s="487"/>
      <c r="G65" s="443"/>
      <c r="H65" s="443"/>
      <c r="I65" s="395"/>
    </row>
    <row r="66" spans="1:9" x14ac:dyDescent="0.3">
      <c r="A66" s="443"/>
      <c r="B66" s="443"/>
      <c r="C66" s="443"/>
      <c r="D66" s="443"/>
      <c r="E66" s="443"/>
      <c r="F66" s="487"/>
      <c r="G66" s="443"/>
      <c r="H66" s="443"/>
      <c r="I66" s="395"/>
    </row>
    <row r="67" spans="1:9" x14ac:dyDescent="0.3">
      <c r="A67" s="443"/>
      <c r="B67" s="443"/>
      <c r="C67" s="443"/>
      <c r="D67" s="443"/>
      <c r="E67" s="443"/>
      <c r="F67" s="487"/>
      <c r="G67" s="443"/>
      <c r="H67" s="443"/>
      <c r="I67" s="395"/>
    </row>
    <row r="68" spans="1:9" x14ac:dyDescent="0.3">
      <c r="A68" s="443"/>
      <c r="B68" s="443"/>
      <c r="C68" s="443"/>
      <c r="D68" s="443"/>
      <c r="E68" s="443"/>
      <c r="F68" s="487"/>
      <c r="G68" s="443"/>
      <c r="H68" s="443"/>
      <c r="I68" s="395"/>
    </row>
    <row r="69" spans="1:9" x14ac:dyDescent="0.3">
      <c r="A69" s="443"/>
      <c r="B69" s="443"/>
      <c r="C69" s="443"/>
      <c r="D69" s="443"/>
      <c r="E69" s="443"/>
      <c r="F69" s="487"/>
      <c r="G69" s="443"/>
      <c r="H69" s="443"/>
      <c r="I69" s="395"/>
    </row>
    <row r="70" spans="1:9" x14ac:dyDescent="0.3">
      <c r="A70" s="443"/>
      <c r="B70" s="443"/>
      <c r="C70" s="443"/>
      <c r="D70" s="443"/>
      <c r="E70" s="443"/>
      <c r="F70" s="487"/>
      <c r="G70" s="443"/>
      <c r="H70" s="443"/>
      <c r="I70" s="395"/>
    </row>
    <row r="71" spans="1:9" x14ac:dyDescent="0.3">
      <c r="A71" s="443"/>
      <c r="B71" s="443"/>
      <c r="C71" s="443"/>
      <c r="D71" s="443"/>
      <c r="E71" s="443"/>
      <c r="F71" s="487"/>
      <c r="G71" s="443"/>
      <c r="H71" s="443"/>
      <c r="I71" s="395"/>
    </row>
    <row r="72" spans="1:9" x14ac:dyDescent="0.3">
      <c r="A72" s="443"/>
      <c r="B72" s="443"/>
      <c r="C72" s="443"/>
      <c r="D72" s="443"/>
      <c r="E72" s="443"/>
      <c r="F72" s="487"/>
      <c r="G72" s="443"/>
      <c r="H72" s="443"/>
      <c r="I72" s="395"/>
    </row>
    <row r="250" spans="1:1" x14ac:dyDescent="0.3">
      <c r="A250" s="38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7" operator="greaterThan">
      <formula>0.02</formula>
    </cfRule>
  </conditionalFormatting>
  <conditionalFormatting sqref="H56">
    <cfRule type="cellIs" dxfId="5" priority="6" operator="greaterThan">
      <formula>0.02</formula>
    </cfRule>
  </conditionalFormatting>
  <conditionalFormatting sqref="I56">
    <cfRule type="cellIs" dxfId="4" priority="5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3" operator="greaterThan">
      <formula>0.1</formula>
    </cfRule>
  </conditionalFormatting>
  <conditionalFormatting sqref="E39">
    <cfRule type="cellIs" dxfId="1" priority="2" operator="greaterThan">
      <formula>0.002</formula>
    </cfRule>
  </conditionalFormatting>
  <conditionalFormatting sqref="F39">
    <cfRule type="cellIs" dxfId="0" priority="1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28" orientation="portrait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</vt:lpstr>
      <vt:lpstr>Uniformity </vt:lpstr>
      <vt:lpstr>Artesunate </vt:lpstr>
      <vt:lpstr>Sodium Chloride</vt:lpstr>
      <vt:lpstr>Sodium Bicarbonate</vt:lpstr>
      <vt:lpstr>'Artesunate '!Print_Area</vt:lpstr>
      <vt:lpstr>'Sodium Bicarbonate'!Print_Area</vt:lpstr>
      <vt:lpstr>'Sodium Chloride'!Print_Area</vt:lpstr>
      <vt:lpstr>SST!Print_Area</vt:lpstr>
      <vt:lpstr>'Uniformity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2016-11-07T05:45:12Z</cp:lastPrinted>
  <dcterms:created xsi:type="dcterms:W3CDTF">2005-07-05T10:19:27Z</dcterms:created>
  <dcterms:modified xsi:type="dcterms:W3CDTF">2016-11-08T13:38:11Z</dcterms:modified>
</cp:coreProperties>
</file>