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4"/>
  </bookViews>
  <sheets>
    <sheet name="Uniformity" sheetId="6" r:id="rId1"/>
    <sheet name="SST S" sheetId="4" r:id="rId2"/>
    <sheet name="SST T" sheetId="5" r:id="rId3"/>
    <sheet name="Trimethoprim" sheetId="2" r:id="rId4"/>
    <sheet name="Sulphamethoxazole" sheetId="3" r:id="rId5"/>
  </sheets>
  <definedNames>
    <definedName name="_xlnm.Print_Area" localSheetId="4">Sulphamethoxazole!$A$1:$I$130</definedName>
    <definedName name="_xlnm.Print_Area" localSheetId="3">Trimethoprim!$A$1:$I$130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57" i="3" l="1"/>
  <c r="B57" i="2"/>
  <c r="C46" i="6"/>
  <c r="D50" i="6" s="1"/>
  <c r="C45" i="6"/>
  <c r="C19" i="6"/>
  <c r="D68" i="3"/>
  <c r="D64" i="3"/>
  <c r="D60" i="3"/>
  <c r="B53" i="5"/>
  <c r="E51" i="5"/>
  <c r="D51" i="5"/>
  <c r="C51" i="5"/>
  <c r="B51" i="5"/>
  <c r="B52" i="5" s="1"/>
  <c r="B32" i="5"/>
  <c r="B31" i="5"/>
  <c r="E30" i="5"/>
  <c r="D30" i="5"/>
  <c r="C30" i="5"/>
  <c r="B30" i="5"/>
  <c r="B21" i="5"/>
  <c r="B53" i="4"/>
  <c r="B52" i="4"/>
  <c r="E51" i="4"/>
  <c r="D51" i="4"/>
  <c r="C51" i="4"/>
  <c r="B51" i="4"/>
  <c r="B32" i="4"/>
  <c r="B31" i="4"/>
  <c r="E30" i="4"/>
  <c r="D30" i="4"/>
  <c r="C30" i="4"/>
  <c r="B30" i="4"/>
  <c r="B21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F46" i="3" s="1"/>
  <c r="B30" i="3"/>
  <c r="C124" i="2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69" i="3" l="1"/>
  <c r="D37" i="6"/>
  <c r="D38" i="6"/>
  <c r="D27" i="6"/>
  <c r="D35" i="6"/>
  <c r="D43" i="6"/>
  <c r="D28" i="6"/>
  <c r="D31" i="6"/>
  <c r="D39" i="6"/>
  <c r="C49" i="6"/>
  <c r="D36" i="6"/>
  <c r="D29" i="6"/>
  <c r="B49" i="6"/>
  <c r="D32" i="6"/>
  <c r="D49" i="6"/>
  <c r="D25" i="6"/>
  <c r="D33" i="6"/>
  <c r="D41" i="6"/>
  <c r="C50" i="6"/>
  <c r="D30" i="6"/>
  <c r="D24" i="6"/>
  <c r="D40" i="6"/>
  <c r="D26" i="6"/>
  <c r="D34" i="6"/>
  <c r="D42" i="6"/>
  <c r="I92" i="3"/>
  <c r="D101" i="3"/>
  <c r="D102" i="3" s="1"/>
  <c r="F97" i="3"/>
  <c r="F98" i="3" s="1"/>
  <c r="I39" i="3"/>
  <c r="D44" i="3"/>
  <c r="D45" i="3" s="1"/>
  <c r="D46" i="3" s="1"/>
  <c r="D98" i="3"/>
  <c r="D99" i="3" s="1"/>
  <c r="I92" i="2"/>
  <c r="D101" i="2"/>
  <c r="D97" i="2"/>
  <c r="I39" i="2"/>
  <c r="D44" i="2"/>
  <c r="D45" i="2" s="1"/>
  <c r="D46" i="2" s="1"/>
  <c r="F45" i="2"/>
  <c r="F46" i="2" s="1"/>
  <c r="D98" i="2"/>
  <c r="D99" i="2" s="1"/>
  <c r="D49" i="2"/>
  <c r="F98" i="2"/>
  <c r="F99" i="2" s="1"/>
  <c r="G39" i="3"/>
  <c r="D49" i="3"/>
  <c r="G40" i="3"/>
  <c r="G41" i="3"/>
  <c r="G38" i="3"/>
  <c r="F99" i="3" l="1"/>
  <c r="G92" i="3"/>
  <c r="G94" i="3"/>
  <c r="G91" i="3"/>
  <c r="G93" i="3"/>
  <c r="E92" i="3"/>
  <c r="E40" i="3"/>
  <c r="E38" i="3"/>
  <c r="E41" i="3"/>
  <c r="E39" i="3"/>
  <c r="E94" i="3"/>
  <c r="E91" i="3"/>
  <c r="E93" i="3"/>
  <c r="G42" i="3"/>
  <c r="E91" i="2"/>
  <c r="D102" i="2"/>
  <c r="E92" i="2"/>
  <c r="E94" i="2"/>
  <c r="E39" i="2"/>
  <c r="E41" i="2"/>
  <c r="E38" i="2"/>
  <c r="E40" i="2"/>
  <c r="G38" i="2"/>
  <c r="G39" i="2"/>
  <c r="G41" i="2"/>
  <c r="G40" i="2"/>
  <c r="E93" i="2"/>
  <c r="E95" i="2" s="1"/>
  <c r="G93" i="2"/>
  <c r="G92" i="2"/>
  <c r="G94" i="2"/>
  <c r="G91" i="2"/>
  <c r="G95" i="3" l="1"/>
  <c r="D105" i="3"/>
  <c r="E42" i="3"/>
  <c r="D52" i="3"/>
  <c r="D50" i="3"/>
  <c r="G71" i="3" s="1"/>
  <c r="H71" i="3" s="1"/>
  <c r="E95" i="3"/>
  <c r="D103" i="3"/>
  <c r="E113" i="3" s="1"/>
  <c r="F113" i="3" s="1"/>
  <c r="G95" i="2"/>
  <c r="E42" i="2"/>
  <c r="D52" i="2"/>
  <c r="D50" i="2"/>
  <c r="G63" i="2" s="1"/>
  <c r="H63" i="2" s="1"/>
  <c r="G42" i="2"/>
  <c r="D103" i="2"/>
  <c r="E113" i="2" s="1"/>
  <c r="F113" i="2" s="1"/>
  <c r="D105" i="2"/>
  <c r="E111" i="3"/>
  <c r="F111" i="3" s="1"/>
  <c r="D104" i="3"/>
  <c r="E108" i="3" l="1"/>
  <c r="F108" i="3" s="1"/>
  <c r="E110" i="3"/>
  <c r="F110" i="3" s="1"/>
  <c r="E112" i="3"/>
  <c r="F112" i="3" s="1"/>
  <c r="E109" i="3"/>
  <c r="F109" i="3" s="1"/>
  <c r="G65" i="3"/>
  <c r="H65" i="3" s="1"/>
  <c r="G61" i="3"/>
  <c r="H61" i="3" s="1"/>
  <c r="G63" i="3"/>
  <c r="H63" i="3" s="1"/>
  <c r="G67" i="3"/>
  <c r="H67" i="3" s="1"/>
  <c r="G70" i="3"/>
  <c r="H70" i="3" s="1"/>
  <c r="D51" i="3"/>
  <c r="G62" i="3"/>
  <c r="H62" i="3" s="1"/>
  <c r="G66" i="3"/>
  <c r="H66" i="3" s="1"/>
  <c r="G60" i="3"/>
  <c r="H60" i="3" s="1"/>
  <c r="G69" i="3"/>
  <c r="H69" i="3" s="1"/>
  <c r="G64" i="3"/>
  <c r="H64" i="3" s="1"/>
  <c r="G68" i="3"/>
  <c r="H68" i="3" s="1"/>
  <c r="E109" i="2"/>
  <c r="F109" i="2" s="1"/>
  <c r="D104" i="2"/>
  <c r="E111" i="2"/>
  <c r="F111" i="2" s="1"/>
  <c r="E108" i="2"/>
  <c r="F108" i="2" s="1"/>
  <c r="E112" i="2"/>
  <c r="F112" i="2" s="1"/>
  <c r="D51" i="2"/>
  <c r="G69" i="2"/>
  <c r="H69" i="2" s="1"/>
  <c r="G62" i="2"/>
  <c r="H62" i="2" s="1"/>
  <c r="G60" i="2"/>
  <c r="H60" i="2" s="1"/>
  <c r="G64" i="2"/>
  <c r="H64" i="2" s="1"/>
  <c r="G61" i="2"/>
  <c r="H61" i="2" s="1"/>
  <c r="G66" i="2"/>
  <c r="H66" i="2" s="1"/>
  <c r="G71" i="2"/>
  <c r="H71" i="2" s="1"/>
  <c r="G67" i="2"/>
  <c r="H67" i="2" s="1"/>
  <c r="G68" i="2"/>
  <c r="H68" i="2" s="1"/>
  <c r="G70" i="2"/>
  <c r="H70" i="2" s="1"/>
  <c r="G65" i="2"/>
  <c r="H65" i="2" s="1"/>
  <c r="E110" i="2"/>
  <c r="F110" i="2" s="1"/>
  <c r="E117" i="3" l="1"/>
  <c r="E119" i="3"/>
  <c r="E115" i="3"/>
  <c r="E116" i="3" s="1"/>
  <c r="E120" i="3"/>
  <c r="G72" i="3"/>
  <c r="G73" i="3" s="1"/>
  <c r="G74" i="3"/>
  <c r="E119" i="2"/>
  <c r="E115" i="2"/>
  <c r="E116" i="2" s="1"/>
  <c r="G74" i="2"/>
  <c r="G72" i="2"/>
  <c r="G73" i="2" s="1"/>
  <c r="E117" i="2"/>
  <c r="E120" i="2"/>
  <c r="F120" i="2"/>
  <c r="D125" i="2"/>
  <c r="F115" i="2"/>
  <c r="F125" i="2"/>
  <c r="F119" i="2"/>
  <c r="F117" i="2"/>
  <c r="F120" i="3"/>
  <c r="F115" i="3"/>
  <c r="F119" i="3"/>
  <c r="D125" i="3"/>
  <c r="F125" i="3"/>
  <c r="F117" i="3"/>
  <c r="H74" i="3"/>
  <c r="H72" i="3"/>
  <c r="H74" i="2"/>
  <c r="H72" i="2"/>
  <c r="G76" i="2" l="1"/>
  <c r="H73" i="2"/>
  <c r="G124" i="3"/>
  <c r="F116" i="3"/>
  <c r="G76" i="3"/>
  <c r="H73" i="3"/>
  <c r="G124" i="2"/>
  <c r="F116" i="2"/>
</calcChain>
</file>

<file path=xl/sharedStrings.xml><?xml version="1.0" encoding="utf-8"?>
<sst xmlns="http://schemas.openxmlformats.org/spreadsheetml/2006/main" count="452" uniqueCount="141">
  <si>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</si>
  <si>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</si>
  <si>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</si>
  <si>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</si>
  <si>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</si>
  <si>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</si>
  <si>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</si>
  <si>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NDQB201611216</t>
  </si>
  <si>
    <t>Weight (mg):</t>
  </si>
  <si>
    <t>Sulphamethoxazole 800 mg, Trimethoprim 160 mg</t>
  </si>
  <si>
    <t>Standard Conc (mg/mL):</t>
  </si>
  <si>
    <t>Each tablet contain Sulphamethoxazole B.P 800 mg and Trimethoprim B.P 160 mg</t>
  </si>
  <si>
    <t>2016-11-09 10:22:03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</si>
  <si>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</si>
  <si>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</si>
  <si>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</si>
  <si>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</si>
  <si>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</si>
  <si>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</si>
  <si>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</si>
  <si>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</si>
  <si>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</si>
  <si>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</si>
  <si>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</si>
  <si>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</si>
  <si>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</si>
  <si>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</si>
  <si>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</si>
  <si>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</si>
  <si>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</si>
  <si>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</si>
  <si>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</si>
  <si>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</si>
  <si>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</si>
  <si>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</si>
  <si>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</si>
  <si>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</si>
  <si>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</si>
  <si>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</si>
  <si>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</si>
  <si>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</si>
  <si>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</si>
  <si>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</si>
  <si>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</si>
  <si>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</si>
  <si>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</si>
  <si>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</si>
  <si>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</si>
  <si>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</si>
  <si>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</si>
  <si>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</si>
  <si>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</si>
  <si>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</si>
  <si>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</si>
  <si>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</si>
  <si>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</si>
  <si>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</si>
  <si>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</si>
  <si>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</si>
  <si>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</si>
  <si>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</si>
  <si>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</si>
  <si>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</si>
  <si>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</si>
  <si>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</si>
  <si>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</si>
  <si>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</si>
  <si>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</si>
  <si>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</si>
  <si>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</si>
  <si>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</si>
  <si>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</si>
  <si>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</si>
  <si>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</si>
  <si>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</si>
  <si>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</si>
  <si>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</si>
  <si>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</si>
  <si>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</si>
  <si>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</si>
  <si>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</si>
  <si>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</si>
  <si>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</si>
  <si>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</si>
  <si>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</si>
  <si>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</si>
  <si>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</si>
  <si>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</si>
  <si>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</si>
  <si>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</si>
  <si>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</si>
  <si>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</si>
  <si>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</si>
  <si>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</si>
  <si>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</si>
  <si>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</si>
  <si>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</si>
  <si>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</si>
  <si>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</si>
  <si>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</si>
  <si>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</si>
  <si>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</si>
  <si>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</si>
  <si>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</si>
  <si>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</si>
  <si>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</si>
  <si>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</si>
  <si>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</si>
  <si>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</si>
  <si>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</si>
  <si>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</si>
  <si>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</si>
  <si>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</si>
  <si>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</si>
  <si>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</si>
  <si>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</si>
  <si>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</si>
  <si>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</si>
  <si>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</si>
  <si>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</si>
  <si>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</si>
  <si>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</si>
  <si>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</si>
  <si>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</si>
  <si>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</si>
  <si>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Bugigi</t>
  </si>
  <si>
    <t>14/12/2016</t>
  </si>
  <si>
    <t>Trimethoprim</t>
  </si>
  <si>
    <t xml:space="preserve">Bugigi </t>
  </si>
  <si>
    <t>Sulfran DS Tabs</t>
  </si>
  <si>
    <t>SULFRAN DS Tabs</t>
  </si>
  <si>
    <t>T7 4</t>
  </si>
  <si>
    <t>Sulphamethoxazole</t>
  </si>
  <si>
    <t>NDQE201607046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</si>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</sst>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2" fillId="2" borderId="0"/>
  </cellStyleXfs>
  <cellXfs count="50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2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3" fillId="2" borderId="0" xfId="1" applyFont="1" applyFill="1" applyAlignment="1">
      <alignment wrapText="1"/>
    </xf>
    <xf numFmtId="175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5" fontId="6" fillId="2" borderId="0" xfId="1" applyNumberFormat="1" applyFont="1" applyFill="1"/>
    <xf numFmtId="0" fontId="24" fillId="2" borderId="0" xfId="1" applyFont="1" applyFill="1"/>
    <xf numFmtId="164" fontId="1" fillId="2" borderId="0" xfId="1" applyNumberFormat="1" applyFont="1" applyFill="1"/>
    <xf numFmtId="164" fontId="5" fillId="2" borderId="19" xfId="1" applyNumberFormat="1" applyFont="1" applyFill="1" applyBorder="1" applyAlignment="1">
      <alignment horizontal="center" wrapText="1"/>
    </xf>
    <xf numFmtId="0" fontId="5" fillId="2" borderId="19" xfId="1" applyFont="1" applyFill="1" applyBorder="1" applyAlignment="1">
      <alignment horizontal="center" wrapText="1"/>
    </xf>
    <xf numFmtId="2" fontId="6" fillId="3" borderId="40" xfId="1" applyNumberFormat="1" applyFont="1" applyFill="1" applyBorder="1" applyProtection="1">
      <protection locked="0"/>
    </xf>
    <xf numFmtId="10" fontId="6" fillId="2" borderId="2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40" xfId="1" applyNumberFormat="1" applyFont="1" applyFill="1" applyBorder="1" applyAlignment="1">
      <alignment horizontal="center"/>
    </xf>
    <xf numFmtId="2" fontId="6" fillId="3" borderId="30" xfId="1" applyNumberFormat="1" applyFont="1" applyFill="1" applyBorder="1" applyProtection="1">
      <protection locked="0"/>
    </xf>
    <xf numFmtId="10" fontId="6" fillId="2" borderId="30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9" xfId="1" applyFont="1" applyFill="1" applyBorder="1" applyAlignment="1">
      <alignment horizontal="right" vertical="center"/>
    </xf>
    <xf numFmtId="170" fontId="6" fillId="2" borderId="19" xfId="1" applyNumberFormat="1" applyFont="1" applyFill="1" applyBorder="1" applyAlignment="1">
      <alignment horizontal="center" vertical="center"/>
    </xf>
    <xf numFmtId="170" fontId="6" fillId="2" borderId="0" xfId="1" applyNumberFormat="1" applyFont="1" applyFill="1" applyAlignment="1">
      <alignment horizontal="center"/>
    </xf>
    <xf numFmtId="164" fontId="5" fillId="2" borderId="19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5" fillId="2" borderId="0" xfId="1" applyNumberFormat="1" applyFont="1" applyFill="1"/>
    <xf numFmtId="0" fontId="5" fillId="2" borderId="19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35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 vertical="center"/>
    </xf>
    <xf numFmtId="165" fontId="5" fillId="2" borderId="3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1" xfId="1" applyFont="1" applyFill="1" applyBorder="1"/>
    <xf numFmtId="0" fontId="6" fillId="2" borderId="11" xfId="1" applyFont="1" applyFill="1" applyBorder="1"/>
    <xf numFmtId="170" fontId="5" fillId="2" borderId="23" xfId="1" applyNumberFormat="1" applyFont="1" applyFill="1" applyBorder="1" applyAlignment="1">
      <alignment horizontal="center" vertical="center"/>
    </xf>
    <xf numFmtId="170" fontId="5" fillId="2" borderId="30" xfId="1" applyNumberFormat="1" applyFont="1" applyFill="1" applyBorder="1" applyAlignment="1">
      <alignment horizontal="center" vertical="center"/>
    </xf>
    <xf numFmtId="0" fontId="23" fillId="2" borderId="54" xfId="1" applyFont="1" applyFill="1" applyBorder="1" applyAlignment="1">
      <alignment horizontal="center" wrapText="1"/>
    </xf>
    <xf numFmtId="0" fontId="23" fillId="2" borderId="55" xfId="1" applyFont="1" applyFill="1" applyBorder="1" applyAlignment="1">
      <alignment horizontal="center" wrapText="1"/>
    </xf>
    <xf numFmtId="0" fontId="23" fillId="2" borderId="56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6" workbookViewId="0">
      <selection activeCell="F39" sqref="F39"/>
    </sheetView>
  </sheetViews>
  <sheetFormatPr defaultRowHeight="15" x14ac:dyDescent="0.3"/>
  <cols>
    <col min="1" max="1" width="15.5703125" style="373" customWidth="1"/>
    <col min="2" max="2" width="18.42578125" style="373" customWidth="1"/>
    <col min="3" max="3" width="14.28515625" style="373" customWidth="1"/>
    <col min="4" max="4" width="15" style="373" customWidth="1"/>
    <col min="5" max="5" width="9.140625" style="373" customWidth="1"/>
    <col min="6" max="6" width="27.85546875" style="373" customWidth="1"/>
    <col min="7" max="7" width="12.28515625" style="373" customWidth="1"/>
    <col min="8" max="8" width="9.140625" style="373" customWidth="1"/>
    <col min="9" max="16384" width="9.140625" style="410"/>
  </cols>
  <sheetData>
    <row r="10" spans="1:7" ht="13.5" customHeight="1" thickBot="1" x14ac:dyDescent="0.35"/>
    <row r="11" spans="1:7" ht="13.5" customHeight="1" thickBot="1" x14ac:dyDescent="0.35">
      <c r="A11" s="455" t="s">
        <v>33</v>
      </c>
      <c r="B11" s="456"/>
      <c r="C11" s="456"/>
      <c r="D11" s="456"/>
      <c r="E11" s="456"/>
      <c r="F11" s="457"/>
      <c r="G11" s="417"/>
    </row>
    <row r="12" spans="1:7" ht="16.5" customHeight="1" x14ac:dyDescent="0.3">
      <c r="A12" s="458" t="s">
        <v>134</v>
      </c>
      <c r="B12" s="458"/>
      <c r="C12" s="458"/>
      <c r="D12" s="458"/>
      <c r="E12" s="458"/>
      <c r="F12" s="458"/>
      <c r="G12" s="376"/>
    </row>
    <row r="14" spans="1:7" ht="16.5" customHeight="1" x14ac:dyDescent="0.3">
      <c r="A14" s="459" t="s">
        <v>35</v>
      </c>
      <c r="B14" s="459"/>
      <c r="C14" s="380" t="s">
        <v>5</v>
      </c>
    </row>
    <row r="15" spans="1:7" ht="16.5" customHeight="1" x14ac:dyDescent="0.3">
      <c r="A15" s="459" t="s">
        <v>36</v>
      </c>
      <c r="B15" s="459"/>
      <c r="C15" s="380" t="s">
        <v>7</v>
      </c>
    </row>
    <row r="16" spans="1:7" ht="16.5" customHeight="1" x14ac:dyDescent="0.3">
      <c r="A16" s="459" t="s">
        <v>37</v>
      </c>
      <c r="B16" s="459"/>
      <c r="C16" s="380" t="s">
        <v>9</v>
      </c>
    </row>
    <row r="17" spans="1:5" ht="16.5" customHeight="1" x14ac:dyDescent="0.3">
      <c r="A17" s="459" t="s">
        <v>38</v>
      </c>
      <c r="B17" s="459"/>
      <c r="C17" s="380" t="s">
        <v>11</v>
      </c>
    </row>
    <row r="18" spans="1:5" ht="16.5" customHeight="1" x14ac:dyDescent="0.3">
      <c r="A18" s="459" t="s">
        <v>39</v>
      </c>
      <c r="B18" s="459"/>
      <c r="C18" s="418" t="s">
        <v>12</v>
      </c>
    </row>
    <row r="19" spans="1:5" ht="16.5" customHeight="1" x14ac:dyDescent="0.3">
      <c r="A19" s="459" t="s">
        <v>40</v>
      </c>
      <c r="B19" s="459"/>
      <c r="C19" s="418" t="e">
        <f>#REF!</f>
        <v>#REF!</v>
      </c>
    </row>
    <row r="20" spans="1:5" ht="16.5" customHeight="1" x14ac:dyDescent="0.3">
      <c r="A20" s="419"/>
      <c r="B20" s="419"/>
      <c r="C20" s="420"/>
    </row>
    <row r="21" spans="1:5" ht="16.5" customHeight="1" x14ac:dyDescent="0.3">
      <c r="A21" s="458" t="s">
        <v>1</v>
      </c>
      <c r="B21" s="458"/>
      <c r="C21" s="377" t="s">
        <v>135</v>
      </c>
      <c r="D21" s="421"/>
    </row>
    <row r="22" spans="1:5" ht="15.75" customHeight="1" thickBot="1" x14ac:dyDescent="0.35">
      <c r="A22" s="460"/>
      <c r="B22" s="460"/>
      <c r="C22" s="422"/>
      <c r="D22" s="460"/>
      <c r="E22" s="460"/>
    </row>
    <row r="23" spans="1:5" ht="33.75" customHeight="1" thickBot="1" x14ac:dyDescent="0.35">
      <c r="C23" s="423" t="s">
        <v>136</v>
      </c>
      <c r="D23" s="424" t="s">
        <v>137</v>
      </c>
      <c r="E23" s="408"/>
    </row>
    <row r="24" spans="1:5" ht="15.75" customHeight="1" x14ac:dyDescent="0.3">
      <c r="C24" s="425">
        <v>1040.6400000000001</v>
      </c>
      <c r="D24" s="426">
        <f t="shared" ref="D24:D43" si="0">(C24-$C$46)/$C$46</f>
        <v>4.0213339096476786E-3</v>
      </c>
      <c r="E24" s="427"/>
    </row>
    <row r="25" spans="1:5" ht="15.75" customHeight="1" x14ac:dyDescent="0.3">
      <c r="C25" s="425">
        <v>1036.73</v>
      </c>
      <c r="D25" s="428">
        <f t="shared" si="0"/>
        <v>2.4892134085654572E-4</v>
      </c>
      <c r="E25" s="427"/>
    </row>
    <row r="26" spans="1:5" ht="15.75" customHeight="1" x14ac:dyDescent="0.3">
      <c r="C26" s="425">
        <v>1028.94</v>
      </c>
      <c r="D26" s="428">
        <f t="shared" si="0"/>
        <v>-7.2669594547654925E-3</v>
      </c>
      <c r="E26" s="427"/>
    </row>
    <row r="27" spans="1:5" ht="15.75" customHeight="1" x14ac:dyDescent="0.3">
      <c r="C27" s="425">
        <v>1035.08</v>
      </c>
      <c r="D27" s="428">
        <f t="shared" si="0"/>
        <v>-1.3430174669453933E-3</v>
      </c>
      <c r="E27" s="427"/>
    </row>
    <row r="28" spans="1:5" ht="15.75" customHeight="1" x14ac:dyDescent="0.3">
      <c r="C28" s="425">
        <v>1047.3800000000001</v>
      </c>
      <c r="D28" s="428">
        <f t="shared" si="0"/>
        <v>1.0524162736668582E-2</v>
      </c>
      <c r="E28" s="427"/>
    </row>
    <row r="29" spans="1:5" ht="15.75" customHeight="1" x14ac:dyDescent="0.3">
      <c r="C29" s="425">
        <v>1031.08</v>
      </c>
      <c r="D29" s="428">
        <f t="shared" si="0"/>
        <v>-5.2022630616165482E-3</v>
      </c>
      <c r="E29" s="427"/>
    </row>
    <row r="30" spans="1:5" ht="15.75" customHeight="1" x14ac:dyDescent="0.3">
      <c r="C30" s="425">
        <v>1039.7</v>
      </c>
      <c r="D30" s="428">
        <f t="shared" si="0"/>
        <v>3.1144111948999045E-3</v>
      </c>
      <c r="E30" s="427"/>
    </row>
    <row r="31" spans="1:5" ht="15.75" customHeight="1" x14ac:dyDescent="0.3">
      <c r="C31" s="425">
        <v>1042.93</v>
      </c>
      <c r="D31" s="428">
        <f t="shared" si="0"/>
        <v>6.2307520125968793E-3</v>
      </c>
      <c r="E31" s="427"/>
    </row>
    <row r="32" spans="1:5" ht="15.75" customHeight="1" x14ac:dyDescent="0.3">
      <c r="C32" s="425">
        <v>1031.19</v>
      </c>
      <c r="D32" s="428">
        <f t="shared" si="0"/>
        <v>-5.0961338077629686E-3</v>
      </c>
      <c r="E32" s="427"/>
    </row>
    <row r="33" spans="1:7" ht="15.75" customHeight="1" x14ac:dyDescent="0.3">
      <c r="C33" s="425">
        <v>1045.19</v>
      </c>
      <c r="D33" s="428">
        <f t="shared" si="0"/>
        <v>8.4112257735860733E-3</v>
      </c>
      <c r="E33" s="427"/>
    </row>
    <row r="34" spans="1:7" ht="15.75" customHeight="1" x14ac:dyDescent="0.3">
      <c r="C34" s="425">
        <v>1034.5999999999999</v>
      </c>
      <c r="D34" s="428">
        <f t="shared" si="0"/>
        <v>-1.8061269383059493E-3</v>
      </c>
      <c r="E34" s="427"/>
    </row>
    <row r="35" spans="1:7" ht="15.75" customHeight="1" x14ac:dyDescent="0.3">
      <c r="C35" s="425">
        <v>1033.19</v>
      </c>
      <c r="D35" s="428">
        <f t="shared" si="0"/>
        <v>-3.166511010427391E-3</v>
      </c>
      <c r="E35" s="427"/>
    </row>
    <row r="36" spans="1:7" ht="15.75" customHeight="1" x14ac:dyDescent="0.3">
      <c r="C36" s="425">
        <v>1035.3499999999999</v>
      </c>
      <c r="D36" s="428">
        <f t="shared" si="0"/>
        <v>-1.0825183893051079E-3</v>
      </c>
      <c r="E36" s="427"/>
    </row>
    <row r="37" spans="1:7" ht="15.75" customHeight="1" x14ac:dyDescent="0.3">
      <c r="C37" s="425">
        <v>1035.54</v>
      </c>
      <c r="D37" s="428">
        <f t="shared" si="0"/>
        <v>-8.9920422355817546E-4</v>
      </c>
      <c r="E37" s="427"/>
    </row>
    <row r="38" spans="1:7" ht="15.75" customHeight="1" x14ac:dyDescent="0.3">
      <c r="C38" s="425">
        <v>1024.06</v>
      </c>
      <c r="D38" s="428">
        <f t="shared" si="0"/>
        <v>-1.1975239080264407E-2</v>
      </c>
      <c r="E38" s="427"/>
    </row>
    <row r="39" spans="1:7" ht="15.75" customHeight="1" x14ac:dyDescent="0.3">
      <c r="C39" s="425">
        <v>1044.9000000000001</v>
      </c>
      <c r="D39" s="428">
        <f t="shared" si="0"/>
        <v>8.1314304679724492E-3</v>
      </c>
      <c r="E39" s="427"/>
    </row>
    <row r="40" spans="1:7" ht="15.75" customHeight="1" x14ac:dyDescent="0.3">
      <c r="C40" s="425">
        <v>1031.78</v>
      </c>
      <c r="D40" s="428">
        <f t="shared" si="0"/>
        <v>-4.5268950825490522E-3</v>
      </c>
      <c r="E40" s="427"/>
    </row>
    <row r="41" spans="1:7" ht="15.75" customHeight="1" x14ac:dyDescent="0.3">
      <c r="C41" s="425">
        <v>1033.8699999999999</v>
      </c>
      <c r="D41" s="428">
        <f t="shared" si="0"/>
        <v>-2.5104392593334529E-3</v>
      </c>
      <c r="E41" s="427"/>
    </row>
    <row r="42" spans="1:7" ht="15.75" customHeight="1" x14ac:dyDescent="0.3">
      <c r="C42" s="425">
        <v>1040.46</v>
      </c>
      <c r="D42" s="428">
        <f t="shared" si="0"/>
        <v>3.8476678578874151E-3</v>
      </c>
      <c r="E42" s="427"/>
    </row>
    <row r="43" spans="1:7" ht="16.5" customHeight="1" thickBot="1" x14ac:dyDescent="0.35">
      <c r="C43" s="429">
        <v>1036.83</v>
      </c>
      <c r="D43" s="430">
        <f t="shared" si="0"/>
        <v>3.454024807232368E-4</v>
      </c>
      <c r="E43" s="427"/>
    </row>
    <row r="44" spans="1:7" ht="16.5" customHeight="1" thickBot="1" x14ac:dyDescent="0.35">
      <c r="C44" s="431"/>
      <c r="D44" s="427"/>
      <c r="E44" s="432"/>
    </row>
    <row r="45" spans="1:7" ht="16.5" customHeight="1" thickBot="1" x14ac:dyDescent="0.35">
      <c r="B45" s="433" t="s">
        <v>138</v>
      </c>
      <c r="C45" s="434">
        <f>SUM(C24:C44)</f>
        <v>20729.439999999995</v>
      </c>
      <c r="D45" s="435"/>
      <c r="E45" s="431"/>
    </row>
    <row r="46" spans="1:7" ht="17.25" customHeight="1" thickBot="1" x14ac:dyDescent="0.35">
      <c r="B46" s="433" t="s">
        <v>139</v>
      </c>
      <c r="C46" s="436">
        <f>AVERAGE(C24:C44)</f>
        <v>1036.4719999999998</v>
      </c>
      <c r="E46" s="437"/>
    </row>
    <row r="47" spans="1:7" ht="17.25" customHeight="1" thickBot="1" x14ac:dyDescent="0.35">
      <c r="A47" s="380"/>
      <c r="B47" s="438"/>
      <c r="D47" s="439"/>
      <c r="E47" s="437"/>
    </row>
    <row r="48" spans="1:7" ht="33.75" customHeight="1" thickBot="1" x14ac:dyDescent="0.35">
      <c r="B48" s="440" t="s">
        <v>139</v>
      </c>
      <c r="C48" s="424" t="s">
        <v>140</v>
      </c>
      <c r="D48" s="441"/>
      <c r="G48" s="439"/>
    </row>
    <row r="49" spans="1:6" ht="17.25" customHeight="1" thickBot="1" x14ac:dyDescent="0.35">
      <c r="B49" s="453">
        <f>C46</f>
        <v>1036.4719999999998</v>
      </c>
      <c r="C49" s="442">
        <f>-IF(C46&lt;=80,10%,IF(C46&lt;250,7.5%,5%))</f>
        <v>-0.05</v>
      </c>
      <c r="D49" s="443">
        <f>IF(C46&lt;=80,C46*0.9,IF(C46&lt;250,C46*0.925,C46*0.95))</f>
        <v>984.6483999999997</v>
      </c>
    </row>
    <row r="50" spans="1:6" ht="17.25" customHeight="1" thickBot="1" x14ac:dyDescent="0.35">
      <c r="B50" s="454"/>
      <c r="C50" s="444">
        <f>IF(C46&lt;=80, 10%, IF(C46&lt;250, 7.5%, 5%))</f>
        <v>0.05</v>
      </c>
      <c r="D50" s="443">
        <f>IF(C46&lt;=80, C46*1.1, IF(C46&lt;250, C46*1.075, C46*1.05))</f>
        <v>1088.2955999999997</v>
      </c>
    </row>
    <row r="51" spans="1:6" ht="16.5" customHeight="1" thickBot="1" x14ac:dyDescent="0.35">
      <c r="A51" s="445"/>
      <c r="B51" s="446"/>
      <c r="C51" s="380"/>
      <c r="D51" s="447"/>
      <c r="E51" s="380"/>
      <c r="F51" s="421"/>
    </row>
    <row r="52" spans="1:6" ht="16.5" customHeight="1" x14ac:dyDescent="0.3">
      <c r="A52" s="380"/>
      <c r="B52" s="448" t="s">
        <v>26</v>
      </c>
      <c r="C52" s="448"/>
      <c r="D52" s="449" t="s">
        <v>27</v>
      </c>
      <c r="E52" s="450"/>
      <c r="F52" s="449" t="s">
        <v>28</v>
      </c>
    </row>
    <row r="53" spans="1:6" ht="34.5" customHeight="1" x14ac:dyDescent="0.3">
      <c r="A53" s="419" t="s">
        <v>29</v>
      </c>
      <c r="B53" s="403"/>
      <c r="C53" s="380"/>
      <c r="D53" s="403"/>
      <c r="E53" s="380"/>
      <c r="F53" s="403"/>
    </row>
    <row r="54" spans="1:6" ht="34.5" customHeight="1" x14ac:dyDescent="0.3">
      <c r="A54" s="419" t="s">
        <v>30</v>
      </c>
      <c r="B54" s="451"/>
      <c r="C54" s="381"/>
      <c r="D54" s="451"/>
      <c r="E54" s="380"/>
      <c r="F54" s="452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C3" sqref="C3:D3"/>
    </sheetView>
  </sheetViews>
  <sheetFormatPr defaultRowHeight="13.5" x14ac:dyDescent="0.25"/>
  <cols>
    <col min="1" max="1" width="27.5703125" style="374" customWidth="1"/>
    <col min="2" max="2" width="20.42578125" style="374" customWidth="1"/>
    <col min="3" max="3" width="31.85546875" style="374" customWidth="1"/>
    <col min="4" max="4" width="25.85546875" style="374" customWidth="1"/>
    <col min="5" max="5" width="25.7109375" style="374" customWidth="1"/>
    <col min="6" max="6" width="23.140625" style="374" customWidth="1"/>
    <col min="7" max="7" width="28.42578125" style="374" customWidth="1"/>
    <col min="8" max="8" width="21.5703125" style="374" customWidth="1"/>
    <col min="9" max="9" width="9.140625" style="374" customWidth="1"/>
    <col min="10" max="16384" width="9.140625" style="410"/>
  </cols>
  <sheetData>
    <row r="14" spans="1:6" ht="15" customHeight="1" x14ac:dyDescent="0.3">
      <c r="A14" s="373"/>
      <c r="C14" s="375"/>
      <c r="F14" s="375"/>
    </row>
    <row r="15" spans="1:6" ht="18.75" customHeight="1" x14ac:dyDescent="0.3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376" t="s">
        <v>1</v>
      </c>
      <c r="B16" s="377" t="s">
        <v>2</v>
      </c>
    </row>
    <row r="17" spans="1:5" ht="16.5" customHeight="1" x14ac:dyDescent="0.3">
      <c r="A17" s="378" t="s">
        <v>3</v>
      </c>
      <c r="B17" s="378" t="s">
        <v>129</v>
      </c>
      <c r="D17" s="379"/>
      <c r="E17" s="380"/>
    </row>
    <row r="18" spans="1:5" ht="16.5" customHeight="1" x14ac:dyDescent="0.3">
      <c r="A18" s="381" t="s">
        <v>4</v>
      </c>
      <c r="B18" s="381" t="s">
        <v>124</v>
      </c>
      <c r="C18" s="380"/>
      <c r="D18" s="380"/>
      <c r="E18" s="380"/>
    </row>
    <row r="19" spans="1:5" ht="16.5" customHeight="1" x14ac:dyDescent="0.3">
      <c r="A19" s="381" t="s">
        <v>6</v>
      </c>
      <c r="B19" s="382">
        <v>99.28</v>
      </c>
      <c r="C19" s="380"/>
      <c r="D19" s="380"/>
      <c r="E19" s="380"/>
    </row>
    <row r="20" spans="1:5" ht="16.5" customHeight="1" x14ac:dyDescent="0.3">
      <c r="A20" s="378" t="s">
        <v>8</v>
      </c>
      <c r="B20" s="382">
        <v>17.71</v>
      </c>
      <c r="C20" s="380"/>
      <c r="D20" s="380"/>
      <c r="E20" s="380"/>
    </row>
    <row r="21" spans="1:5" ht="16.5" customHeight="1" x14ac:dyDescent="0.3">
      <c r="A21" s="378" t="s">
        <v>10</v>
      </c>
      <c r="B21" s="383">
        <f>B20/100</f>
        <v>0.17710000000000001</v>
      </c>
      <c r="C21" s="380"/>
      <c r="D21" s="380"/>
      <c r="E21" s="380"/>
    </row>
    <row r="22" spans="1:5" ht="15.75" customHeight="1" x14ac:dyDescent="0.25">
      <c r="A22" s="380"/>
      <c r="B22" s="380"/>
      <c r="C22" s="380"/>
      <c r="D22" s="380"/>
      <c r="E22" s="380"/>
    </row>
    <row r="23" spans="1:5" ht="16.5" customHeight="1" x14ac:dyDescent="0.3">
      <c r="A23" s="384" t="s">
        <v>13</v>
      </c>
      <c r="B23" s="385" t="s">
        <v>14</v>
      </c>
      <c r="C23" s="384" t="s">
        <v>15</v>
      </c>
      <c r="D23" s="384" t="s">
        <v>16</v>
      </c>
      <c r="E23" s="384" t="s">
        <v>17</v>
      </c>
    </row>
    <row r="24" spans="1:5" ht="16.5" customHeight="1" x14ac:dyDescent="0.3">
      <c r="A24" s="386">
        <v>1</v>
      </c>
      <c r="B24" s="387">
        <v>109638430</v>
      </c>
      <c r="C24" s="387">
        <v>8919.4</v>
      </c>
      <c r="D24" s="388">
        <v>1</v>
      </c>
      <c r="E24" s="389">
        <v>6.4</v>
      </c>
    </row>
    <row r="25" spans="1:5" ht="16.5" customHeight="1" x14ac:dyDescent="0.3">
      <c r="A25" s="386">
        <v>2</v>
      </c>
      <c r="B25" s="387">
        <v>109095019</v>
      </c>
      <c r="C25" s="387">
        <v>9123</v>
      </c>
      <c r="D25" s="388">
        <v>1</v>
      </c>
      <c r="E25" s="388">
        <v>6.4</v>
      </c>
    </row>
    <row r="26" spans="1:5" ht="16.5" customHeight="1" x14ac:dyDescent="0.3">
      <c r="A26" s="386">
        <v>3</v>
      </c>
      <c r="B26" s="387">
        <v>109210806</v>
      </c>
      <c r="C26" s="387">
        <v>9151.1</v>
      </c>
      <c r="D26" s="388">
        <v>1</v>
      </c>
      <c r="E26" s="388">
        <v>6.4</v>
      </c>
    </row>
    <row r="27" spans="1:5" ht="16.5" customHeight="1" x14ac:dyDescent="0.3">
      <c r="A27" s="386">
        <v>4</v>
      </c>
      <c r="B27" s="387">
        <v>109677311</v>
      </c>
      <c r="C27" s="387">
        <v>9134.4</v>
      </c>
      <c r="D27" s="388">
        <v>1</v>
      </c>
      <c r="E27" s="388">
        <v>6.4</v>
      </c>
    </row>
    <row r="28" spans="1:5" ht="16.5" customHeight="1" x14ac:dyDescent="0.3">
      <c r="A28" s="386">
        <v>5</v>
      </c>
      <c r="B28" s="387">
        <v>109728595</v>
      </c>
      <c r="C28" s="387">
        <v>9266.2999999999993</v>
      </c>
      <c r="D28" s="388">
        <v>1</v>
      </c>
      <c r="E28" s="388">
        <v>6.4</v>
      </c>
    </row>
    <row r="29" spans="1:5" ht="16.5" customHeight="1" x14ac:dyDescent="0.3">
      <c r="A29" s="386">
        <v>6</v>
      </c>
      <c r="B29" s="390">
        <v>109414627</v>
      </c>
      <c r="C29" s="390">
        <v>9213.5</v>
      </c>
      <c r="D29" s="391">
        <v>1</v>
      </c>
      <c r="E29" s="391">
        <v>6.4</v>
      </c>
    </row>
    <row r="30" spans="1:5" ht="16.5" customHeight="1" x14ac:dyDescent="0.3">
      <c r="A30" s="392" t="s">
        <v>18</v>
      </c>
      <c r="B30" s="393">
        <f>AVERAGE(B24:B29)</f>
        <v>109460798</v>
      </c>
      <c r="C30" s="394">
        <f>AVERAGE(C24:C29)</f>
        <v>9134.6166666666668</v>
      </c>
      <c r="D30" s="395">
        <f>AVERAGE(D24:D29)</f>
        <v>1</v>
      </c>
      <c r="E30" s="395">
        <f>AVERAGE(E24:E29)</f>
        <v>6.3999999999999995</v>
      </c>
    </row>
    <row r="31" spans="1:5" ht="16.5" customHeight="1" x14ac:dyDescent="0.3">
      <c r="A31" s="396" t="s">
        <v>19</v>
      </c>
      <c r="B31" s="397">
        <f>(STDEV(B24:B29)/B30)</f>
        <v>2.4121278240566402E-3</v>
      </c>
      <c r="C31" s="398"/>
      <c r="D31" s="398"/>
      <c r="E31" s="399"/>
    </row>
    <row r="32" spans="1:5" s="374" customFormat="1" ht="16.5" customHeight="1" x14ac:dyDescent="0.3">
      <c r="A32" s="400" t="s">
        <v>20</v>
      </c>
      <c r="B32" s="401">
        <f>COUNT(B24:B29)</f>
        <v>6</v>
      </c>
      <c r="C32" s="402"/>
      <c r="D32" s="403"/>
      <c r="E32" s="404"/>
    </row>
    <row r="33" spans="1:5" s="374" customFormat="1" ht="15.75" customHeight="1" x14ac:dyDescent="0.25">
      <c r="A33" s="380"/>
      <c r="B33" s="380"/>
      <c r="C33" s="380"/>
      <c r="D33" s="380"/>
      <c r="E33" s="380"/>
    </row>
    <row r="34" spans="1:5" s="374" customFormat="1" ht="16.5" customHeight="1" x14ac:dyDescent="0.3">
      <c r="A34" s="381" t="s">
        <v>21</v>
      </c>
      <c r="B34" s="405" t="s">
        <v>22</v>
      </c>
      <c r="C34" s="406"/>
      <c r="D34" s="406"/>
      <c r="E34" s="406"/>
    </row>
    <row r="35" spans="1:5" ht="16.5" customHeight="1" x14ac:dyDescent="0.3">
      <c r="A35" s="381"/>
      <c r="B35" s="405" t="s">
        <v>23</v>
      </c>
      <c r="C35" s="406"/>
      <c r="D35" s="406"/>
      <c r="E35" s="406"/>
    </row>
    <row r="36" spans="1:5" ht="16.5" customHeight="1" x14ac:dyDescent="0.3">
      <c r="A36" s="381"/>
      <c r="B36" s="405" t="s">
        <v>24</v>
      </c>
      <c r="C36" s="406"/>
      <c r="D36" s="406"/>
      <c r="E36" s="406"/>
    </row>
    <row r="37" spans="1:5" ht="15.75" customHeight="1" x14ac:dyDescent="0.25">
      <c r="A37" s="380"/>
      <c r="B37" s="380"/>
      <c r="C37" s="380"/>
      <c r="D37" s="380"/>
      <c r="E37" s="380"/>
    </row>
    <row r="38" spans="1:5" ht="16.5" customHeight="1" x14ac:dyDescent="0.3">
      <c r="A38" s="376" t="s">
        <v>1</v>
      </c>
      <c r="B38" s="377" t="s">
        <v>25</v>
      </c>
    </row>
    <row r="39" spans="1:5" ht="16.5" customHeight="1" x14ac:dyDescent="0.3">
      <c r="A39" s="381" t="s">
        <v>4</v>
      </c>
      <c r="B39" s="378"/>
      <c r="C39" s="380"/>
      <c r="D39" s="380"/>
      <c r="E39" s="380"/>
    </row>
    <row r="40" spans="1:5" ht="16.5" customHeight="1" x14ac:dyDescent="0.3">
      <c r="A40" s="381" t="s">
        <v>6</v>
      </c>
      <c r="B40" s="382"/>
      <c r="C40" s="380"/>
      <c r="D40" s="380"/>
      <c r="E40" s="380"/>
    </row>
    <row r="41" spans="1:5" ht="16.5" customHeight="1" x14ac:dyDescent="0.3">
      <c r="A41" s="378" t="s">
        <v>8</v>
      </c>
      <c r="B41" s="382"/>
      <c r="C41" s="380"/>
      <c r="D41" s="380"/>
      <c r="E41" s="380"/>
    </row>
    <row r="42" spans="1:5" ht="16.5" customHeight="1" x14ac:dyDescent="0.3">
      <c r="A42" s="378" t="s">
        <v>10</v>
      </c>
      <c r="B42" s="383"/>
      <c r="C42" s="380"/>
      <c r="D42" s="380"/>
      <c r="E42" s="380"/>
    </row>
    <row r="43" spans="1:5" ht="15.75" customHeight="1" x14ac:dyDescent="0.25">
      <c r="A43" s="380"/>
      <c r="B43" s="380"/>
      <c r="C43" s="380"/>
      <c r="D43" s="380"/>
      <c r="E43" s="380"/>
    </row>
    <row r="44" spans="1:5" ht="16.5" customHeight="1" x14ac:dyDescent="0.3">
      <c r="A44" s="384" t="s">
        <v>13</v>
      </c>
      <c r="B44" s="385" t="s">
        <v>14</v>
      </c>
      <c r="C44" s="384" t="s">
        <v>15</v>
      </c>
      <c r="D44" s="384" t="s">
        <v>16</v>
      </c>
      <c r="E44" s="384" t="s">
        <v>17</v>
      </c>
    </row>
    <row r="45" spans="1:5" ht="16.5" customHeight="1" x14ac:dyDescent="0.3">
      <c r="A45" s="386">
        <v>1</v>
      </c>
      <c r="B45" s="387"/>
      <c r="C45" s="387"/>
      <c r="D45" s="388"/>
      <c r="E45" s="389"/>
    </row>
    <row r="46" spans="1:5" ht="16.5" customHeight="1" x14ac:dyDescent="0.3">
      <c r="A46" s="386">
        <v>2</v>
      </c>
      <c r="B46" s="387"/>
      <c r="C46" s="387"/>
      <c r="D46" s="388"/>
      <c r="E46" s="388"/>
    </row>
    <row r="47" spans="1:5" ht="16.5" customHeight="1" x14ac:dyDescent="0.3">
      <c r="A47" s="386">
        <v>3</v>
      </c>
      <c r="B47" s="387"/>
      <c r="C47" s="387"/>
      <c r="D47" s="388"/>
      <c r="E47" s="388"/>
    </row>
    <row r="48" spans="1:5" ht="16.5" customHeight="1" x14ac:dyDescent="0.3">
      <c r="A48" s="386">
        <v>4</v>
      </c>
      <c r="B48" s="387"/>
      <c r="C48" s="387"/>
      <c r="D48" s="388"/>
      <c r="E48" s="388"/>
    </row>
    <row r="49" spans="1:7" ht="16.5" customHeight="1" x14ac:dyDescent="0.3">
      <c r="A49" s="386">
        <v>5</v>
      </c>
      <c r="B49" s="387"/>
      <c r="C49" s="387"/>
      <c r="D49" s="388"/>
      <c r="E49" s="388"/>
    </row>
    <row r="50" spans="1:7" ht="16.5" customHeight="1" x14ac:dyDescent="0.3">
      <c r="A50" s="386">
        <v>6</v>
      </c>
      <c r="B50" s="390"/>
      <c r="C50" s="390"/>
      <c r="D50" s="391"/>
      <c r="E50" s="391"/>
    </row>
    <row r="51" spans="1:7" ht="16.5" customHeight="1" x14ac:dyDescent="0.3">
      <c r="A51" s="392" t="s">
        <v>18</v>
      </c>
      <c r="B51" s="393" t="e">
        <f>AVERAGE(B45:B50)</f>
        <v>#DIV/0!</v>
      </c>
      <c r="C51" s="394" t="e">
        <f>AVERAGE(C45:C50)</f>
        <v>#DIV/0!</v>
      </c>
      <c r="D51" s="395" t="e">
        <f>AVERAGE(D45:D50)</f>
        <v>#DIV/0!</v>
      </c>
      <c r="E51" s="395" t="e">
        <f>AVERAGE(E45:E50)</f>
        <v>#DIV/0!</v>
      </c>
    </row>
    <row r="52" spans="1:7" ht="16.5" customHeight="1" x14ac:dyDescent="0.3">
      <c r="A52" s="396" t="s">
        <v>19</v>
      </c>
      <c r="B52" s="397" t="e">
        <f>(STDEV(B45:B50)/B51)</f>
        <v>#DIV/0!</v>
      </c>
      <c r="C52" s="398"/>
      <c r="D52" s="398"/>
      <c r="E52" s="399"/>
    </row>
    <row r="53" spans="1:7" s="374" customFormat="1" ht="16.5" customHeight="1" x14ac:dyDescent="0.3">
      <c r="A53" s="400" t="s">
        <v>20</v>
      </c>
      <c r="B53" s="401">
        <f>COUNT(B45:B50)</f>
        <v>0</v>
      </c>
      <c r="C53" s="402"/>
      <c r="D53" s="403"/>
      <c r="E53" s="404"/>
    </row>
    <row r="54" spans="1:7" s="374" customFormat="1" ht="15.75" customHeight="1" x14ac:dyDescent="0.25">
      <c r="A54" s="380"/>
      <c r="B54" s="380"/>
      <c r="C54" s="380"/>
      <c r="D54" s="380"/>
      <c r="E54" s="380"/>
    </row>
    <row r="55" spans="1:7" s="374" customFormat="1" ht="16.5" customHeight="1" x14ac:dyDescent="0.3">
      <c r="A55" s="381" t="s">
        <v>21</v>
      </c>
      <c r="B55" s="405" t="s">
        <v>22</v>
      </c>
      <c r="C55" s="406"/>
      <c r="D55" s="406"/>
      <c r="E55" s="406"/>
    </row>
    <row r="56" spans="1:7" ht="16.5" customHeight="1" x14ac:dyDescent="0.3">
      <c r="A56" s="381"/>
      <c r="B56" s="405" t="s">
        <v>23</v>
      </c>
      <c r="C56" s="406"/>
      <c r="D56" s="406"/>
      <c r="E56" s="406"/>
    </row>
    <row r="57" spans="1:7" ht="16.5" customHeight="1" x14ac:dyDescent="0.3">
      <c r="A57" s="381"/>
      <c r="B57" s="405" t="s">
        <v>24</v>
      </c>
      <c r="C57" s="406"/>
      <c r="D57" s="406"/>
      <c r="E57" s="406"/>
    </row>
    <row r="58" spans="1:7" ht="14.25" customHeight="1" thickBot="1" x14ac:dyDescent="0.3">
      <c r="A58" s="407"/>
      <c r="B58" s="408"/>
      <c r="D58" s="409"/>
      <c r="F58" s="410"/>
      <c r="G58" s="410"/>
    </row>
    <row r="59" spans="1:7" ht="15" customHeight="1" x14ac:dyDescent="0.3">
      <c r="B59" s="462" t="s">
        <v>26</v>
      </c>
      <c r="C59" s="462"/>
      <c r="E59" s="411" t="s">
        <v>27</v>
      </c>
      <c r="F59" s="412"/>
      <c r="G59" s="411" t="s">
        <v>28</v>
      </c>
    </row>
    <row r="60" spans="1:7" ht="15" customHeight="1" x14ac:dyDescent="0.3">
      <c r="A60" s="413" t="s">
        <v>29</v>
      </c>
      <c r="B60" s="414" t="s">
        <v>125</v>
      </c>
      <c r="C60" s="414"/>
      <c r="E60" s="414" t="s">
        <v>126</v>
      </c>
      <c r="G60" s="414"/>
    </row>
    <row r="61" spans="1:7" ht="15" customHeight="1" x14ac:dyDescent="0.3">
      <c r="A61" s="413" t="s">
        <v>30</v>
      </c>
      <c r="B61" s="415"/>
      <c r="C61" s="415"/>
      <c r="E61" s="415"/>
      <c r="G61" s="41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B18" sqref="B18"/>
    </sheetView>
  </sheetViews>
  <sheetFormatPr defaultRowHeight="13.5" x14ac:dyDescent="0.25"/>
  <cols>
    <col min="1" max="1" width="27.5703125" style="374" customWidth="1"/>
    <col min="2" max="2" width="20.42578125" style="374" customWidth="1"/>
    <col min="3" max="3" width="31.85546875" style="374" customWidth="1"/>
    <col min="4" max="4" width="25.85546875" style="374" customWidth="1"/>
    <col min="5" max="5" width="25.7109375" style="374" customWidth="1"/>
    <col min="6" max="6" width="23.140625" style="374" customWidth="1"/>
    <col min="7" max="7" width="28.42578125" style="374" customWidth="1"/>
    <col min="8" max="8" width="21.5703125" style="374" customWidth="1"/>
    <col min="9" max="9" width="9.140625" style="374" customWidth="1"/>
    <col min="10" max="16384" width="9.140625" style="410"/>
  </cols>
  <sheetData>
    <row r="14" spans="1:6" ht="15" customHeight="1" x14ac:dyDescent="0.3">
      <c r="A14" s="373"/>
      <c r="C14" s="375"/>
      <c r="F14" s="375"/>
    </row>
    <row r="15" spans="1:6" ht="18.75" customHeight="1" x14ac:dyDescent="0.3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376" t="s">
        <v>1</v>
      </c>
      <c r="B16" s="377" t="s">
        <v>2</v>
      </c>
    </row>
    <row r="17" spans="1:5" ht="16.5" customHeight="1" x14ac:dyDescent="0.3">
      <c r="A17" s="378" t="s">
        <v>3</v>
      </c>
      <c r="B17" s="378" t="s">
        <v>130</v>
      </c>
      <c r="D17" s="379"/>
      <c r="E17" s="380"/>
    </row>
    <row r="18" spans="1:5" ht="16.5" customHeight="1" x14ac:dyDescent="0.3">
      <c r="A18" s="381" t="s">
        <v>4</v>
      </c>
      <c r="B18" s="381" t="s">
        <v>127</v>
      </c>
      <c r="C18" s="380"/>
      <c r="D18" s="380"/>
      <c r="E18" s="380"/>
    </row>
    <row r="19" spans="1:5" ht="16.5" customHeight="1" x14ac:dyDescent="0.3">
      <c r="A19" s="381" t="s">
        <v>6</v>
      </c>
      <c r="B19" s="382">
        <v>99.3</v>
      </c>
      <c r="C19" s="380"/>
      <c r="D19" s="380"/>
      <c r="E19" s="380"/>
    </row>
    <row r="20" spans="1:5" ht="16.5" customHeight="1" x14ac:dyDescent="0.3">
      <c r="A20" s="378" t="s">
        <v>8</v>
      </c>
      <c r="B20" s="382">
        <v>31.01</v>
      </c>
      <c r="C20" s="380"/>
      <c r="D20" s="380"/>
      <c r="E20" s="380"/>
    </row>
    <row r="21" spans="1:5" ht="16.5" customHeight="1" x14ac:dyDescent="0.3">
      <c r="A21" s="378" t="s">
        <v>10</v>
      </c>
      <c r="B21" s="383">
        <f>B20/50*5/100</f>
        <v>3.1010000000000003E-2</v>
      </c>
      <c r="C21" s="380"/>
      <c r="D21" s="380"/>
      <c r="E21" s="380"/>
    </row>
    <row r="22" spans="1:5" ht="15.75" customHeight="1" x14ac:dyDescent="0.25">
      <c r="A22" s="380"/>
      <c r="B22" s="380"/>
      <c r="C22" s="380"/>
      <c r="D22" s="380"/>
      <c r="E22" s="380"/>
    </row>
    <row r="23" spans="1:5" ht="16.5" customHeight="1" x14ac:dyDescent="0.3">
      <c r="A23" s="384" t="s">
        <v>13</v>
      </c>
      <c r="B23" s="385" t="s">
        <v>14</v>
      </c>
      <c r="C23" s="384" t="s">
        <v>15</v>
      </c>
      <c r="D23" s="384" t="s">
        <v>16</v>
      </c>
      <c r="E23" s="384" t="s">
        <v>17</v>
      </c>
    </row>
    <row r="24" spans="1:5" ht="16.5" customHeight="1" x14ac:dyDescent="0.3">
      <c r="A24" s="386">
        <v>1</v>
      </c>
      <c r="B24" s="387">
        <v>7142361</v>
      </c>
      <c r="C24" s="387">
        <v>5976.4</v>
      </c>
      <c r="D24" s="388">
        <v>1.2</v>
      </c>
      <c r="E24" s="389">
        <v>3.2</v>
      </c>
    </row>
    <row r="25" spans="1:5" ht="16.5" customHeight="1" x14ac:dyDescent="0.3">
      <c r="A25" s="386">
        <v>2</v>
      </c>
      <c r="B25" s="387">
        <v>7121827</v>
      </c>
      <c r="C25" s="387">
        <v>6013.7</v>
      </c>
      <c r="D25" s="388">
        <v>1.2</v>
      </c>
      <c r="E25" s="388">
        <v>3.2</v>
      </c>
    </row>
    <row r="26" spans="1:5" ht="16.5" customHeight="1" x14ac:dyDescent="0.3">
      <c r="A26" s="386">
        <v>3</v>
      </c>
      <c r="B26" s="387">
        <v>7106139</v>
      </c>
      <c r="C26" s="387">
        <v>6035.4</v>
      </c>
      <c r="D26" s="388">
        <v>1.2</v>
      </c>
      <c r="E26" s="388">
        <v>3.2</v>
      </c>
    </row>
    <row r="27" spans="1:5" ht="16.5" customHeight="1" x14ac:dyDescent="0.3">
      <c r="A27" s="386">
        <v>4</v>
      </c>
      <c r="B27" s="387">
        <v>7134348</v>
      </c>
      <c r="C27" s="387">
        <v>6043.7</v>
      </c>
      <c r="D27" s="388">
        <v>1.2</v>
      </c>
      <c r="E27" s="388">
        <v>3.2</v>
      </c>
    </row>
    <row r="28" spans="1:5" ht="16.5" customHeight="1" x14ac:dyDescent="0.3">
      <c r="A28" s="386">
        <v>5</v>
      </c>
      <c r="B28" s="387">
        <v>7120138</v>
      </c>
      <c r="C28" s="387">
        <v>6117.9</v>
      </c>
      <c r="D28" s="388">
        <v>1.2</v>
      </c>
      <c r="E28" s="388">
        <v>3.2</v>
      </c>
    </row>
    <row r="29" spans="1:5" ht="16.5" customHeight="1" x14ac:dyDescent="0.3">
      <c r="A29" s="386">
        <v>6</v>
      </c>
      <c r="B29" s="390">
        <v>7106598</v>
      </c>
      <c r="C29" s="390">
        <v>6086.3</v>
      </c>
      <c r="D29" s="391">
        <v>1.2</v>
      </c>
      <c r="E29" s="391">
        <v>3.2</v>
      </c>
    </row>
    <row r="30" spans="1:5" ht="16.5" customHeight="1" x14ac:dyDescent="0.3">
      <c r="A30" s="392" t="s">
        <v>18</v>
      </c>
      <c r="B30" s="393">
        <f>AVERAGE(B24:B29)</f>
        <v>7121901.833333333</v>
      </c>
      <c r="C30" s="394">
        <f>AVERAGE(C24:C29)</f>
        <v>6045.5666666666666</v>
      </c>
      <c r="D30" s="395">
        <f>AVERAGE(D24:D29)</f>
        <v>1.2</v>
      </c>
      <c r="E30" s="395">
        <f>AVERAGE(E24:E29)</f>
        <v>3.1999999999999997</v>
      </c>
    </row>
    <row r="31" spans="1:5" ht="16.5" customHeight="1" x14ac:dyDescent="0.3">
      <c r="A31" s="396" t="s">
        <v>19</v>
      </c>
      <c r="B31" s="397">
        <f>(STDEV(B24:B29)/B30)</f>
        <v>2.0437298072461755E-3</v>
      </c>
      <c r="C31" s="398"/>
      <c r="D31" s="398"/>
      <c r="E31" s="399"/>
    </row>
    <row r="32" spans="1:5" s="374" customFormat="1" ht="16.5" customHeight="1" x14ac:dyDescent="0.3">
      <c r="A32" s="400" t="s">
        <v>20</v>
      </c>
      <c r="B32" s="401">
        <f>COUNT(B24:B29)</f>
        <v>6</v>
      </c>
      <c r="C32" s="402"/>
      <c r="D32" s="403"/>
      <c r="E32" s="404"/>
    </row>
    <row r="33" spans="1:5" s="374" customFormat="1" ht="15.75" customHeight="1" x14ac:dyDescent="0.25">
      <c r="A33" s="380"/>
      <c r="B33" s="380"/>
      <c r="C33" s="380"/>
      <c r="D33" s="380"/>
      <c r="E33" s="380"/>
    </row>
    <row r="34" spans="1:5" s="374" customFormat="1" ht="16.5" customHeight="1" x14ac:dyDescent="0.3">
      <c r="A34" s="381" t="s">
        <v>21</v>
      </c>
      <c r="B34" s="405" t="s">
        <v>22</v>
      </c>
      <c r="C34" s="406"/>
      <c r="D34" s="406"/>
      <c r="E34" s="406"/>
    </row>
    <row r="35" spans="1:5" ht="16.5" customHeight="1" x14ac:dyDescent="0.3">
      <c r="A35" s="381"/>
      <c r="B35" s="405" t="s">
        <v>23</v>
      </c>
      <c r="C35" s="406"/>
      <c r="D35" s="406"/>
      <c r="E35" s="406"/>
    </row>
    <row r="36" spans="1:5" ht="16.5" customHeight="1" x14ac:dyDescent="0.3">
      <c r="A36" s="381"/>
      <c r="B36" s="405" t="s">
        <v>24</v>
      </c>
      <c r="C36" s="406"/>
      <c r="D36" s="406"/>
      <c r="E36" s="406"/>
    </row>
    <row r="37" spans="1:5" ht="15.75" customHeight="1" x14ac:dyDescent="0.25">
      <c r="A37" s="380"/>
      <c r="B37" s="380"/>
      <c r="C37" s="380"/>
      <c r="D37" s="380"/>
      <c r="E37" s="380"/>
    </row>
    <row r="38" spans="1:5" ht="16.5" customHeight="1" x14ac:dyDescent="0.3">
      <c r="A38" s="376" t="s">
        <v>1</v>
      </c>
      <c r="B38" s="377" t="s">
        <v>25</v>
      </c>
    </row>
    <row r="39" spans="1:5" ht="16.5" customHeight="1" x14ac:dyDescent="0.3">
      <c r="A39" s="381" t="s">
        <v>4</v>
      </c>
      <c r="B39" s="378"/>
      <c r="C39" s="380"/>
      <c r="D39" s="380"/>
      <c r="E39" s="380"/>
    </row>
    <row r="40" spans="1:5" ht="16.5" customHeight="1" x14ac:dyDescent="0.3">
      <c r="A40" s="381" t="s">
        <v>6</v>
      </c>
      <c r="B40" s="382"/>
      <c r="C40" s="380"/>
      <c r="D40" s="380"/>
      <c r="E40" s="380"/>
    </row>
    <row r="41" spans="1:5" ht="16.5" customHeight="1" x14ac:dyDescent="0.3">
      <c r="A41" s="378" t="s">
        <v>8</v>
      </c>
      <c r="B41" s="382"/>
      <c r="C41" s="380"/>
      <c r="D41" s="380"/>
      <c r="E41" s="380"/>
    </row>
    <row r="42" spans="1:5" ht="16.5" customHeight="1" x14ac:dyDescent="0.3">
      <c r="A42" s="378" t="s">
        <v>10</v>
      </c>
      <c r="B42" s="383"/>
      <c r="C42" s="380"/>
      <c r="D42" s="380"/>
      <c r="E42" s="380"/>
    </row>
    <row r="43" spans="1:5" ht="15.75" customHeight="1" x14ac:dyDescent="0.25">
      <c r="A43" s="380"/>
      <c r="B43" s="380"/>
      <c r="C43" s="380"/>
      <c r="D43" s="380"/>
      <c r="E43" s="380"/>
    </row>
    <row r="44" spans="1:5" ht="16.5" customHeight="1" x14ac:dyDescent="0.3">
      <c r="A44" s="384" t="s">
        <v>13</v>
      </c>
      <c r="B44" s="385" t="s">
        <v>14</v>
      </c>
      <c r="C44" s="384" t="s">
        <v>15</v>
      </c>
      <c r="D44" s="384" t="s">
        <v>16</v>
      </c>
      <c r="E44" s="384" t="s">
        <v>17</v>
      </c>
    </row>
    <row r="45" spans="1:5" ht="16.5" customHeight="1" x14ac:dyDescent="0.3">
      <c r="A45" s="386">
        <v>1</v>
      </c>
      <c r="B45" s="387"/>
      <c r="C45" s="387"/>
      <c r="D45" s="388"/>
      <c r="E45" s="389"/>
    </row>
    <row r="46" spans="1:5" ht="16.5" customHeight="1" x14ac:dyDescent="0.3">
      <c r="A46" s="386">
        <v>2</v>
      </c>
      <c r="B46" s="387"/>
      <c r="C46" s="387"/>
      <c r="D46" s="388"/>
      <c r="E46" s="388"/>
    </row>
    <row r="47" spans="1:5" ht="16.5" customHeight="1" x14ac:dyDescent="0.3">
      <c r="A47" s="386">
        <v>3</v>
      </c>
      <c r="B47" s="387"/>
      <c r="C47" s="387"/>
      <c r="D47" s="388"/>
      <c r="E47" s="388"/>
    </row>
    <row r="48" spans="1:5" ht="16.5" customHeight="1" x14ac:dyDescent="0.3">
      <c r="A48" s="386">
        <v>4</v>
      </c>
      <c r="B48" s="387"/>
      <c r="C48" s="387"/>
      <c r="D48" s="388"/>
      <c r="E48" s="388"/>
    </row>
    <row r="49" spans="1:7" ht="16.5" customHeight="1" x14ac:dyDescent="0.3">
      <c r="A49" s="386">
        <v>5</v>
      </c>
      <c r="B49" s="387"/>
      <c r="C49" s="387"/>
      <c r="D49" s="388"/>
      <c r="E49" s="388"/>
    </row>
    <row r="50" spans="1:7" ht="16.5" customHeight="1" x14ac:dyDescent="0.3">
      <c r="A50" s="386">
        <v>6</v>
      </c>
      <c r="B50" s="390"/>
      <c r="C50" s="390"/>
      <c r="D50" s="391"/>
      <c r="E50" s="391"/>
    </row>
    <row r="51" spans="1:7" ht="16.5" customHeight="1" x14ac:dyDescent="0.3">
      <c r="A51" s="392" t="s">
        <v>18</v>
      </c>
      <c r="B51" s="393" t="e">
        <f>AVERAGE(B45:B50)</f>
        <v>#DIV/0!</v>
      </c>
      <c r="C51" s="394" t="e">
        <f>AVERAGE(C45:C50)</f>
        <v>#DIV/0!</v>
      </c>
      <c r="D51" s="395" t="e">
        <f>AVERAGE(D45:D50)</f>
        <v>#DIV/0!</v>
      </c>
      <c r="E51" s="395" t="e">
        <f>AVERAGE(E45:E50)</f>
        <v>#DIV/0!</v>
      </c>
    </row>
    <row r="52" spans="1:7" ht="16.5" customHeight="1" x14ac:dyDescent="0.3">
      <c r="A52" s="396" t="s">
        <v>19</v>
      </c>
      <c r="B52" s="397" t="e">
        <f>(STDEV(B45:B50)/B51)</f>
        <v>#DIV/0!</v>
      </c>
      <c r="C52" s="398"/>
      <c r="D52" s="398"/>
      <c r="E52" s="399"/>
    </row>
    <row r="53" spans="1:7" s="374" customFormat="1" ht="16.5" customHeight="1" x14ac:dyDescent="0.3">
      <c r="A53" s="400" t="s">
        <v>20</v>
      </c>
      <c r="B53" s="401">
        <f>COUNT(B45:B50)</f>
        <v>0</v>
      </c>
      <c r="C53" s="402"/>
      <c r="D53" s="403"/>
      <c r="E53" s="404"/>
    </row>
    <row r="54" spans="1:7" s="374" customFormat="1" ht="15.75" customHeight="1" x14ac:dyDescent="0.25">
      <c r="A54" s="380"/>
      <c r="B54" s="380"/>
      <c r="C54" s="380"/>
      <c r="D54" s="380"/>
      <c r="E54" s="380"/>
    </row>
    <row r="55" spans="1:7" s="374" customFormat="1" ht="16.5" customHeight="1" x14ac:dyDescent="0.3">
      <c r="A55" s="381" t="s">
        <v>21</v>
      </c>
      <c r="B55" s="405" t="s">
        <v>22</v>
      </c>
      <c r="C55" s="406"/>
      <c r="D55" s="406"/>
      <c r="E55" s="406"/>
    </row>
    <row r="56" spans="1:7" ht="16.5" customHeight="1" x14ac:dyDescent="0.3">
      <c r="A56" s="381"/>
      <c r="B56" s="405" t="s">
        <v>23</v>
      </c>
      <c r="C56" s="406"/>
      <c r="D56" s="406"/>
      <c r="E56" s="406"/>
    </row>
    <row r="57" spans="1:7" ht="16.5" customHeight="1" x14ac:dyDescent="0.3">
      <c r="A57" s="381"/>
      <c r="B57" s="405" t="s">
        <v>24</v>
      </c>
      <c r="C57" s="406"/>
      <c r="D57" s="406"/>
      <c r="E57" s="406"/>
    </row>
    <row r="58" spans="1:7" ht="14.25" customHeight="1" thickBot="1" x14ac:dyDescent="0.3">
      <c r="A58" s="407"/>
      <c r="B58" s="408"/>
      <c r="D58" s="409"/>
      <c r="F58" s="410"/>
      <c r="G58" s="410"/>
    </row>
    <row r="59" spans="1:7" ht="15" customHeight="1" x14ac:dyDescent="0.3">
      <c r="B59" s="462" t="s">
        <v>26</v>
      </c>
      <c r="C59" s="462"/>
      <c r="E59" s="411" t="s">
        <v>27</v>
      </c>
      <c r="F59" s="412"/>
      <c r="G59" s="411" t="s">
        <v>28</v>
      </c>
    </row>
    <row r="60" spans="1:7" ht="15" customHeight="1" x14ac:dyDescent="0.3">
      <c r="A60" s="413" t="s">
        <v>29</v>
      </c>
      <c r="B60" s="414" t="s">
        <v>128</v>
      </c>
      <c r="C60" s="414"/>
      <c r="E60" s="414" t="s">
        <v>126</v>
      </c>
      <c r="G60" s="414"/>
    </row>
    <row r="61" spans="1:7" ht="15" customHeight="1" x14ac:dyDescent="0.3">
      <c r="A61" s="413" t="s">
        <v>30</v>
      </c>
      <c r="B61" s="415"/>
      <c r="C61" s="415"/>
      <c r="E61" s="415"/>
      <c r="G61" s="41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3" t="s">
        <v>31</v>
      </c>
      <c r="B1" s="463"/>
      <c r="C1" s="463"/>
      <c r="D1" s="463"/>
      <c r="E1" s="463"/>
      <c r="F1" s="463"/>
      <c r="G1" s="463"/>
      <c r="H1" s="463"/>
      <c r="I1" s="463"/>
    </row>
    <row r="2" spans="1:9" ht="18.75" customHeight="1" x14ac:dyDescent="0.25">
      <c r="A2" s="463"/>
      <c r="B2" s="463"/>
      <c r="C2" s="463"/>
      <c r="D2" s="463"/>
      <c r="E2" s="463"/>
      <c r="F2" s="463"/>
      <c r="G2" s="463"/>
      <c r="H2" s="463"/>
      <c r="I2" s="463"/>
    </row>
    <row r="3" spans="1:9" ht="18.75" customHeight="1" x14ac:dyDescent="0.25">
      <c r="A3" s="463"/>
      <c r="B3" s="463"/>
      <c r="C3" s="463"/>
      <c r="D3" s="463"/>
      <c r="E3" s="463"/>
      <c r="F3" s="463"/>
      <c r="G3" s="463"/>
      <c r="H3" s="463"/>
      <c r="I3" s="463"/>
    </row>
    <row r="4" spans="1:9" ht="18.75" customHeight="1" x14ac:dyDescent="0.25">
      <c r="A4" s="463"/>
      <c r="B4" s="463"/>
      <c r="C4" s="463"/>
      <c r="D4" s="463"/>
      <c r="E4" s="463"/>
      <c r="F4" s="463"/>
      <c r="G4" s="463"/>
      <c r="H4" s="463"/>
      <c r="I4" s="463"/>
    </row>
    <row r="5" spans="1:9" ht="18.75" customHeight="1" x14ac:dyDescent="0.25">
      <c r="A5" s="463"/>
      <c r="B5" s="463"/>
      <c r="C5" s="463"/>
      <c r="D5" s="463"/>
      <c r="E5" s="463"/>
      <c r="F5" s="463"/>
      <c r="G5" s="463"/>
      <c r="H5" s="463"/>
      <c r="I5" s="463"/>
    </row>
    <row r="6" spans="1:9" ht="18.75" customHeight="1" x14ac:dyDescent="0.25">
      <c r="A6" s="463"/>
      <c r="B6" s="463"/>
      <c r="C6" s="463"/>
      <c r="D6" s="463"/>
      <c r="E6" s="463"/>
      <c r="F6" s="463"/>
      <c r="G6" s="463"/>
      <c r="H6" s="463"/>
      <c r="I6" s="463"/>
    </row>
    <row r="7" spans="1:9" ht="18.75" customHeight="1" x14ac:dyDescent="0.25">
      <c r="A7" s="463"/>
      <c r="B7" s="463"/>
      <c r="C7" s="463"/>
      <c r="D7" s="463"/>
      <c r="E7" s="463"/>
      <c r="F7" s="463"/>
      <c r="G7" s="463"/>
      <c r="H7" s="463"/>
      <c r="I7" s="463"/>
    </row>
    <row r="8" spans="1:9" x14ac:dyDescent="0.25">
      <c r="A8" s="464" t="s">
        <v>32</v>
      </c>
      <c r="B8" s="464"/>
      <c r="C8" s="464"/>
      <c r="D8" s="464"/>
      <c r="E8" s="464"/>
      <c r="F8" s="464"/>
      <c r="G8" s="464"/>
      <c r="H8" s="464"/>
      <c r="I8" s="464"/>
    </row>
    <row r="9" spans="1:9" x14ac:dyDescent="0.25">
      <c r="A9" s="464"/>
      <c r="B9" s="464"/>
      <c r="C9" s="464"/>
      <c r="D9" s="464"/>
      <c r="E9" s="464"/>
      <c r="F9" s="464"/>
      <c r="G9" s="464"/>
      <c r="H9" s="464"/>
      <c r="I9" s="464"/>
    </row>
    <row r="10" spans="1:9" x14ac:dyDescent="0.25">
      <c r="A10" s="464"/>
      <c r="B10" s="464"/>
      <c r="C10" s="464"/>
      <c r="D10" s="464"/>
      <c r="E10" s="464"/>
      <c r="F10" s="464"/>
      <c r="G10" s="464"/>
      <c r="H10" s="464"/>
      <c r="I10" s="464"/>
    </row>
    <row r="11" spans="1:9" x14ac:dyDescent="0.25">
      <c r="A11" s="464"/>
      <c r="B11" s="464"/>
      <c r="C11" s="464"/>
      <c r="D11" s="464"/>
      <c r="E11" s="464"/>
      <c r="F11" s="464"/>
      <c r="G11" s="464"/>
      <c r="H11" s="464"/>
      <c r="I11" s="464"/>
    </row>
    <row r="12" spans="1:9" x14ac:dyDescent="0.25">
      <c r="A12" s="464"/>
      <c r="B12" s="464"/>
      <c r="C12" s="464"/>
      <c r="D12" s="464"/>
      <c r="E12" s="464"/>
      <c r="F12" s="464"/>
      <c r="G12" s="464"/>
      <c r="H12" s="464"/>
      <c r="I12" s="464"/>
    </row>
    <row r="13" spans="1:9" x14ac:dyDescent="0.25">
      <c r="A13" s="464"/>
      <c r="B13" s="464"/>
      <c r="C13" s="464"/>
      <c r="D13" s="464"/>
      <c r="E13" s="464"/>
      <c r="F13" s="464"/>
      <c r="G13" s="464"/>
      <c r="H13" s="464"/>
      <c r="I13" s="464"/>
    </row>
    <row r="14" spans="1:9" x14ac:dyDescent="0.25">
      <c r="A14" s="464"/>
      <c r="B14" s="464"/>
      <c r="C14" s="464"/>
      <c r="D14" s="464"/>
      <c r="E14" s="464"/>
      <c r="F14" s="464"/>
      <c r="G14" s="464"/>
      <c r="H14" s="464"/>
      <c r="I14" s="464"/>
    </row>
    <row r="15" spans="1:9" ht="19.5" customHeight="1" x14ac:dyDescent="0.3">
      <c r="A15" s="3"/>
    </row>
    <row r="16" spans="1:9" ht="19.5" customHeight="1" x14ac:dyDescent="0.3">
      <c r="A16" s="496" t="s">
        <v>33</v>
      </c>
      <c r="B16" s="497"/>
      <c r="C16" s="497"/>
      <c r="D16" s="497"/>
      <c r="E16" s="497"/>
      <c r="F16" s="497"/>
      <c r="G16" s="497"/>
      <c r="H16" s="498"/>
    </row>
    <row r="17" spans="1:14" ht="20.25" customHeight="1" x14ac:dyDescent="0.25">
      <c r="A17" s="499" t="s">
        <v>34</v>
      </c>
      <c r="B17" s="499"/>
      <c r="C17" s="499"/>
      <c r="D17" s="499"/>
      <c r="E17" s="499"/>
      <c r="F17" s="499"/>
      <c r="G17" s="499"/>
      <c r="H17" s="499"/>
    </row>
    <row r="18" spans="1:14" ht="26.25" customHeight="1" x14ac:dyDescent="0.4">
      <c r="A18" s="5" t="s">
        <v>35</v>
      </c>
      <c r="B18" s="495" t="s">
        <v>5</v>
      </c>
      <c r="C18" s="495"/>
      <c r="D18" s="148"/>
      <c r="E18" s="6"/>
      <c r="F18" s="7"/>
      <c r="G18" s="7"/>
      <c r="H18" s="7"/>
    </row>
    <row r="19" spans="1:14" ht="26.25" customHeight="1" x14ac:dyDescent="0.4">
      <c r="A19" s="5" t="s">
        <v>36</v>
      </c>
      <c r="B19" s="8" t="s">
        <v>7</v>
      </c>
      <c r="C19" s="157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37</v>
      </c>
      <c r="B20" s="500" t="s">
        <v>127</v>
      </c>
      <c r="C20" s="500"/>
      <c r="D20" s="7"/>
      <c r="E20" s="7"/>
      <c r="F20" s="7"/>
      <c r="G20" s="7"/>
      <c r="H20" s="7"/>
    </row>
    <row r="21" spans="1:14" ht="26.25" customHeight="1" x14ac:dyDescent="0.4">
      <c r="A21" s="5" t="s">
        <v>38</v>
      </c>
      <c r="B21" s="500" t="s">
        <v>11</v>
      </c>
      <c r="C21" s="500"/>
      <c r="D21" s="500"/>
      <c r="E21" s="500"/>
      <c r="F21" s="500"/>
      <c r="G21" s="500"/>
      <c r="H21" s="500"/>
      <c r="I21" s="9"/>
    </row>
    <row r="22" spans="1:14" ht="26.25" customHeight="1" x14ac:dyDescent="0.4">
      <c r="A22" s="5" t="s">
        <v>39</v>
      </c>
      <c r="B22" s="10">
        <v>42713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40</v>
      </c>
      <c r="B23" s="10">
        <v>42718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495" t="s">
        <v>127</v>
      </c>
      <c r="C26" s="495"/>
    </row>
    <row r="27" spans="1:14" ht="26.25" customHeight="1" x14ac:dyDescent="0.4">
      <c r="A27" s="14" t="s">
        <v>41</v>
      </c>
      <c r="B27" s="501" t="s">
        <v>131</v>
      </c>
      <c r="C27" s="501"/>
    </row>
    <row r="28" spans="1:14" ht="27" customHeight="1" x14ac:dyDescent="0.4">
      <c r="A28" s="14" t="s">
        <v>6</v>
      </c>
      <c r="B28" s="15">
        <v>99.3</v>
      </c>
    </row>
    <row r="29" spans="1:14" s="2" customFormat="1" ht="27" customHeight="1" x14ac:dyDescent="0.4">
      <c r="A29" s="14" t="s">
        <v>42</v>
      </c>
      <c r="B29" s="16">
        <v>0</v>
      </c>
      <c r="C29" s="471" t="s">
        <v>43</v>
      </c>
      <c r="D29" s="472"/>
      <c r="E29" s="472"/>
      <c r="F29" s="472"/>
      <c r="G29" s="473"/>
      <c r="I29" s="17"/>
      <c r="J29" s="17"/>
      <c r="K29" s="17"/>
      <c r="L29" s="17"/>
    </row>
    <row r="30" spans="1:14" s="2" customFormat="1" ht="19.5" customHeight="1" x14ac:dyDescent="0.3">
      <c r="A30" s="14" t="s">
        <v>44</v>
      </c>
      <c r="B30" s="18">
        <f>B28-B29</f>
        <v>99.3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45</v>
      </c>
      <c r="B31" s="21">
        <v>1</v>
      </c>
      <c r="C31" s="474" t="s">
        <v>46</v>
      </c>
      <c r="D31" s="475"/>
      <c r="E31" s="475"/>
      <c r="F31" s="475"/>
      <c r="G31" s="475"/>
      <c r="H31" s="476"/>
      <c r="I31" s="17"/>
      <c r="J31" s="17"/>
      <c r="K31" s="17"/>
      <c r="L31" s="17"/>
    </row>
    <row r="32" spans="1:14" s="2" customFormat="1" ht="27" customHeight="1" x14ac:dyDescent="0.4">
      <c r="A32" s="14" t="s">
        <v>47</v>
      </c>
      <c r="B32" s="21">
        <v>1</v>
      </c>
      <c r="C32" s="474" t="s">
        <v>48</v>
      </c>
      <c r="D32" s="475"/>
      <c r="E32" s="475"/>
      <c r="F32" s="475"/>
      <c r="G32" s="475"/>
      <c r="H32" s="476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49</v>
      </c>
      <c r="B34" s="26">
        <f>B31/B32</f>
        <v>1</v>
      </c>
      <c r="C34" s="4" t="s">
        <v>50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51</v>
      </c>
      <c r="B36" s="28">
        <v>50</v>
      </c>
      <c r="C36" s="4"/>
      <c r="D36" s="477" t="s">
        <v>52</v>
      </c>
      <c r="E36" s="502"/>
      <c r="F36" s="477" t="s">
        <v>53</v>
      </c>
      <c r="G36" s="478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54</v>
      </c>
      <c r="B37" s="30">
        <v>5</v>
      </c>
      <c r="C37" s="31" t="s">
        <v>55</v>
      </c>
      <c r="D37" s="32" t="s">
        <v>56</v>
      </c>
      <c r="E37" s="33" t="s">
        <v>57</v>
      </c>
      <c r="F37" s="32" t="s">
        <v>56</v>
      </c>
      <c r="G37" s="34" t="s">
        <v>57</v>
      </c>
      <c r="I37" s="35" t="s">
        <v>58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59</v>
      </c>
      <c r="B38" s="30">
        <v>100</v>
      </c>
      <c r="C38" s="36">
        <v>1</v>
      </c>
      <c r="D38" s="221">
        <v>7119769</v>
      </c>
      <c r="E38" s="37">
        <f>IF(ISBLANK(D38),"-",$D$48/$D$45*D38)</f>
        <v>7398860.9723076038</v>
      </c>
      <c r="F38" s="221">
        <v>8071052</v>
      </c>
      <c r="G38" s="38">
        <f>IF(ISBLANK(F38),"-",$D$48/$F$45*F38)</f>
        <v>7422783.2268804004</v>
      </c>
      <c r="I38" s="39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60</v>
      </c>
      <c r="B39" s="30">
        <v>1</v>
      </c>
      <c r="C39" s="40">
        <v>2</v>
      </c>
      <c r="D39" s="226">
        <v>7128117</v>
      </c>
      <c r="E39" s="42">
        <f>IF(ISBLANK(D39),"-",$D$48/$D$45*D39)</f>
        <v>7407536.2104223268</v>
      </c>
      <c r="F39" s="226">
        <v>8093674</v>
      </c>
      <c r="G39" s="43">
        <f>IF(ISBLANK(F39),"-",$D$48/$F$45*F39)</f>
        <v>7443588.2225808976</v>
      </c>
      <c r="I39" s="479">
        <f>ABS((F43/D43*D42)-F42)/D42</f>
        <v>3.9377328516368194E-3</v>
      </c>
      <c r="J39" s="17"/>
      <c r="K39" s="17"/>
      <c r="L39" s="22"/>
      <c r="M39" s="22"/>
      <c r="N39" s="23"/>
    </row>
    <row r="40" spans="1:14" ht="26.25" customHeight="1" x14ac:dyDescent="0.4">
      <c r="A40" s="29" t="s">
        <v>61</v>
      </c>
      <c r="B40" s="30">
        <v>1</v>
      </c>
      <c r="C40" s="40">
        <v>3</v>
      </c>
      <c r="D40" s="226">
        <v>7124463</v>
      </c>
      <c r="E40" s="42">
        <f>IF(ISBLANK(D40),"-",$D$48/$D$45*D40)</f>
        <v>7403738.9751478657</v>
      </c>
      <c r="F40" s="226">
        <v>8069291</v>
      </c>
      <c r="G40" s="43">
        <f>IF(ISBLANK(F40),"-",$D$48/$F$45*F40)</f>
        <v>7421163.670809825</v>
      </c>
      <c r="I40" s="479"/>
      <c r="L40" s="22"/>
      <c r="M40" s="22"/>
      <c r="N40" s="44"/>
    </row>
    <row r="41" spans="1:14" ht="27" customHeight="1" x14ac:dyDescent="0.4">
      <c r="A41" s="29" t="s">
        <v>62</v>
      </c>
      <c r="B41" s="30">
        <v>1</v>
      </c>
      <c r="C41" s="45">
        <v>4</v>
      </c>
      <c r="D41" s="231"/>
      <c r="E41" s="46" t="str">
        <f>IF(ISBLANK(D41),"-",$D$48/$D$45*D41)</f>
        <v>-</v>
      </c>
      <c r="F41" s="231"/>
      <c r="G41" s="47" t="str">
        <f>IF(ISBLANK(F41),"-",$D$48/$F$45*F41)</f>
        <v>-</v>
      </c>
      <c r="I41" s="48"/>
      <c r="L41" s="22"/>
      <c r="M41" s="22"/>
      <c r="N41" s="44"/>
    </row>
    <row r="42" spans="1:14" ht="27" customHeight="1" x14ac:dyDescent="0.4">
      <c r="A42" s="29" t="s">
        <v>63</v>
      </c>
      <c r="B42" s="30">
        <v>1</v>
      </c>
      <c r="C42" s="49" t="s">
        <v>64</v>
      </c>
      <c r="D42" s="50">
        <f>AVERAGE(D38:D41)</f>
        <v>7124116.333333333</v>
      </c>
      <c r="E42" s="51">
        <f>AVERAGE(E38:E41)</f>
        <v>7403378.7192925988</v>
      </c>
      <c r="F42" s="50">
        <f>AVERAGE(F38:F41)</f>
        <v>8078005.666666667</v>
      </c>
      <c r="G42" s="52">
        <f>AVERAGE(G38:G41)</f>
        <v>7429178.3734237077</v>
      </c>
      <c r="H42" s="53"/>
    </row>
    <row r="43" spans="1:14" ht="26.25" customHeight="1" x14ac:dyDescent="0.4">
      <c r="A43" s="29" t="s">
        <v>65</v>
      </c>
      <c r="B43" s="30">
        <v>1</v>
      </c>
      <c r="C43" s="54" t="s">
        <v>66</v>
      </c>
      <c r="D43" s="55">
        <v>31.01</v>
      </c>
      <c r="E43" s="44"/>
      <c r="F43" s="55">
        <v>35.04</v>
      </c>
      <c r="H43" s="53"/>
    </row>
    <row r="44" spans="1:14" ht="26.25" customHeight="1" x14ac:dyDescent="0.4">
      <c r="A44" s="29" t="s">
        <v>67</v>
      </c>
      <c r="B44" s="30">
        <v>1</v>
      </c>
      <c r="C44" s="56" t="s">
        <v>68</v>
      </c>
      <c r="D44" s="57">
        <f>D43*$B$34</f>
        <v>31.01</v>
      </c>
      <c r="E44" s="58"/>
      <c r="F44" s="57">
        <f>F43*$B$34</f>
        <v>35.04</v>
      </c>
      <c r="H44" s="53"/>
    </row>
    <row r="45" spans="1:14" ht="19.5" customHeight="1" x14ac:dyDescent="0.3">
      <c r="A45" s="29" t="s">
        <v>69</v>
      </c>
      <c r="B45" s="59">
        <f>(B44/B43)*(B42/B41)*(B40/B39)*(B38/B37)*B36</f>
        <v>1000</v>
      </c>
      <c r="C45" s="56" t="s">
        <v>70</v>
      </c>
      <c r="D45" s="60">
        <f>D44*$B$30/100</f>
        <v>30.792930000000002</v>
      </c>
      <c r="E45" s="61"/>
      <c r="F45" s="60">
        <f>F44*$B$30/100</f>
        <v>34.794719999999998</v>
      </c>
      <c r="H45" s="53"/>
    </row>
    <row r="46" spans="1:14" ht="19.5" customHeight="1" x14ac:dyDescent="0.3">
      <c r="A46" s="465" t="s">
        <v>71</v>
      </c>
      <c r="B46" s="466"/>
      <c r="C46" s="56" t="s">
        <v>72</v>
      </c>
      <c r="D46" s="62">
        <f>D45/$B$45</f>
        <v>3.0792930000000003E-2</v>
      </c>
      <c r="E46" s="63"/>
      <c r="F46" s="64">
        <f>F45/$B$45</f>
        <v>3.4794720000000001E-2</v>
      </c>
      <c r="H46" s="53"/>
    </row>
    <row r="47" spans="1:14" ht="27" customHeight="1" x14ac:dyDescent="0.4">
      <c r="A47" s="467"/>
      <c r="B47" s="468"/>
      <c r="C47" s="65" t="s">
        <v>73</v>
      </c>
      <c r="D47" s="66">
        <v>3.2000000000000001E-2</v>
      </c>
      <c r="E47" s="67"/>
      <c r="F47" s="63"/>
      <c r="H47" s="53"/>
    </row>
    <row r="48" spans="1:14" ht="18.75" x14ac:dyDescent="0.3">
      <c r="C48" s="68" t="s">
        <v>74</v>
      </c>
      <c r="D48" s="60">
        <f>D47*$B$45</f>
        <v>32</v>
      </c>
      <c r="F48" s="69"/>
      <c r="H48" s="53"/>
    </row>
    <row r="49" spans="1:12" ht="19.5" customHeight="1" x14ac:dyDescent="0.3">
      <c r="C49" s="70" t="s">
        <v>75</v>
      </c>
      <c r="D49" s="71">
        <f>D48/B34</f>
        <v>32</v>
      </c>
      <c r="F49" s="69"/>
      <c r="H49" s="53"/>
    </row>
    <row r="50" spans="1:12" ht="18.75" x14ac:dyDescent="0.3">
      <c r="C50" s="27" t="s">
        <v>76</v>
      </c>
      <c r="D50" s="72">
        <f>AVERAGE(E38:E41,G38:G41)</f>
        <v>7416278.5463581532</v>
      </c>
      <c r="F50" s="73"/>
      <c r="H50" s="53"/>
    </row>
    <row r="51" spans="1:12" ht="18.75" x14ac:dyDescent="0.3">
      <c r="C51" s="29" t="s">
        <v>77</v>
      </c>
      <c r="D51" s="74">
        <f>STDEV(E38:E41,G38:G41)/D50</f>
        <v>2.2148308113952076E-3</v>
      </c>
      <c r="F51" s="73"/>
      <c r="H51" s="53"/>
    </row>
    <row r="52" spans="1:12" ht="19.5" customHeight="1" x14ac:dyDescent="0.3">
      <c r="C52" s="75" t="s">
        <v>20</v>
      </c>
      <c r="D52" s="76">
        <f>COUNT(E38:E41,G38:G41)</f>
        <v>6</v>
      </c>
      <c r="F52" s="73"/>
    </row>
    <row r="54" spans="1:12" ht="18.75" x14ac:dyDescent="0.3">
      <c r="A54" s="77" t="s">
        <v>1</v>
      </c>
      <c r="B54" s="78" t="s">
        <v>78</v>
      </c>
    </row>
    <row r="55" spans="1:12" ht="18.75" x14ac:dyDescent="0.3">
      <c r="A55" s="4" t="s">
        <v>79</v>
      </c>
      <c r="B55" s="79" t="str">
        <f>B21</f>
        <v>Each tablet contain Sulphamethoxazole B.P 800 mg and Trimethoprim B.P 160 mg</v>
      </c>
    </row>
    <row r="56" spans="1:12" ht="26.25" customHeight="1" x14ac:dyDescent="0.4">
      <c r="A56" s="80" t="s">
        <v>80</v>
      </c>
      <c r="B56" s="81">
        <v>160</v>
      </c>
      <c r="C56" s="4" t="str">
        <f>B20</f>
        <v>Trimethoprim</v>
      </c>
      <c r="H56" s="82"/>
    </row>
    <row r="57" spans="1:12" ht="18.75" x14ac:dyDescent="0.3">
      <c r="A57" s="79" t="s">
        <v>81</v>
      </c>
      <c r="B57" s="149">
        <f>Uniformity!C46</f>
        <v>1036.4719999999998</v>
      </c>
      <c r="H57" s="82"/>
    </row>
    <row r="58" spans="1:12" ht="19.5" customHeight="1" x14ac:dyDescent="0.3">
      <c r="H58" s="82"/>
    </row>
    <row r="59" spans="1:12" s="2" customFormat="1" ht="27" customHeight="1" x14ac:dyDescent="0.4">
      <c r="A59" s="27" t="s">
        <v>82</v>
      </c>
      <c r="B59" s="28">
        <v>200</v>
      </c>
      <c r="C59" s="4"/>
      <c r="D59" s="83" t="s">
        <v>83</v>
      </c>
      <c r="E59" s="84" t="s">
        <v>55</v>
      </c>
      <c r="F59" s="84" t="s">
        <v>56</v>
      </c>
      <c r="G59" s="84" t="s">
        <v>84</v>
      </c>
      <c r="H59" s="31" t="s">
        <v>85</v>
      </c>
      <c r="L59" s="17"/>
    </row>
    <row r="60" spans="1:12" s="2" customFormat="1" ht="26.25" customHeight="1" x14ac:dyDescent="0.4">
      <c r="A60" s="29" t="s">
        <v>86</v>
      </c>
      <c r="B60" s="30">
        <v>4</v>
      </c>
      <c r="C60" s="482" t="s">
        <v>87</v>
      </c>
      <c r="D60" s="485">
        <v>1042.1400000000001</v>
      </c>
      <c r="E60" s="85">
        <v>1</v>
      </c>
      <c r="F60" s="86">
        <v>7151784</v>
      </c>
      <c r="G60" s="150">
        <f>IF(ISBLANK(F60),"-",(F60/$D$50*$D$47*$B$68)*($B$57/$D$60))</f>
        <v>153.45457743908315</v>
      </c>
      <c r="H60" s="168">
        <f t="shared" ref="H60:H71" si="0">IF(ISBLANK(F60),"-",(G60/$B$56)*100)</f>
        <v>95.909110899426977</v>
      </c>
      <c r="L60" s="17"/>
    </row>
    <row r="61" spans="1:12" s="2" customFormat="1" ht="26.25" customHeight="1" x14ac:dyDescent="0.4">
      <c r="A61" s="29" t="s">
        <v>88</v>
      </c>
      <c r="B61" s="30">
        <v>100</v>
      </c>
      <c r="C61" s="483"/>
      <c r="D61" s="486"/>
      <c r="E61" s="87">
        <v>2</v>
      </c>
      <c r="F61" s="41">
        <v>7203722</v>
      </c>
      <c r="G61" s="151">
        <f>IF(ISBLANK(F61),"-",(F61/$D$50*$D$47*$B$68)*($B$57/$D$60))</f>
        <v>154.56900201385096</v>
      </c>
      <c r="H61" s="169">
        <f t="shared" si="0"/>
        <v>96.605626258656855</v>
      </c>
      <c r="L61" s="17"/>
    </row>
    <row r="62" spans="1:12" s="2" customFormat="1" ht="26.25" customHeight="1" x14ac:dyDescent="0.4">
      <c r="A62" s="29" t="s">
        <v>89</v>
      </c>
      <c r="B62" s="30">
        <v>1</v>
      </c>
      <c r="C62" s="483"/>
      <c r="D62" s="486"/>
      <c r="E62" s="87">
        <v>3</v>
      </c>
      <c r="F62" s="88">
        <v>7266222</v>
      </c>
      <c r="G62" s="151">
        <f>IF(ISBLANK(F62),"-",(F62/$D$50*$D$47*$B$68)*($B$57/$D$60))</f>
        <v>155.91005357384532</v>
      </c>
      <c r="H62" s="169">
        <f t="shared" si="0"/>
        <v>97.44378348365332</v>
      </c>
      <c r="L62" s="17"/>
    </row>
    <row r="63" spans="1:12" ht="27" customHeight="1" x14ac:dyDescent="0.4">
      <c r="A63" s="29" t="s">
        <v>90</v>
      </c>
      <c r="B63" s="30">
        <v>1</v>
      </c>
      <c r="C63" s="492"/>
      <c r="D63" s="487"/>
      <c r="E63" s="89">
        <v>4</v>
      </c>
      <c r="F63" s="90"/>
      <c r="G63" s="151" t="str">
        <f>IF(ISBLANK(F63),"-",(F63/$D$50*$D$47*$B$68)*($B$57/$D$60))</f>
        <v>-</v>
      </c>
      <c r="H63" s="169" t="str">
        <f t="shared" si="0"/>
        <v>-</v>
      </c>
    </row>
    <row r="64" spans="1:12" ht="26.25" customHeight="1" x14ac:dyDescent="0.4">
      <c r="A64" s="29" t="s">
        <v>91</v>
      </c>
      <c r="B64" s="30">
        <v>1</v>
      </c>
      <c r="C64" s="482" t="s">
        <v>92</v>
      </c>
      <c r="D64" s="485">
        <v>1039.67</v>
      </c>
      <c r="E64" s="85">
        <v>1</v>
      </c>
      <c r="F64" s="86">
        <v>7253745</v>
      </c>
      <c r="G64" s="150">
        <f>IF(ISBLANK(F64),"-",(F64/$D$50*$D$47*$B$68)*($B$57/$D$64))</f>
        <v>156.0121046488392</v>
      </c>
      <c r="H64" s="168">
        <f t="shared" si="0"/>
        <v>97.507565405524502</v>
      </c>
    </row>
    <row r="65" spans="1:8" ht="26.25" customHeight="1" x14ac:dyDescent="0.4">
      <c r="A65" s="29" t="s">
        <v>93</v>
      </c>
      <c r="B65" s="30">
        <v>1</v>
      </c>
      <c r="C65" s="483"/>
      <c r="D65" s="486"/>
      <c r="E65" s="87">
        <v>2</v>
      </c>
      <c r="F65" s="41">
        <v>7272611</v>
      </c>
      <c r="G65" s="151">
        <f>IF(ISBLANK(F65),"-",(F65/$D$50*$D$47*$B$68)*($B$57/$D$64))</f>
        <v>156.41787082428442</v>
      </c>
      <c r="H65" s="169">
        <f t="shared" si="0"/>
        <v>97.761169265177756</v>
      </c>
    </row>
    <row r="66" spans="1:8" ht="26.25" customHeight="1" x14ac:dyDescent="0.4">
      <c r="A66" s="29" t="s">
        <v>94</v>
      </c>
      <c r="B66" s="30">
        <v>1</v>
      </c>
      <c r="C66" s="483"/>
      <c r="D66" s="486"/>
      <c r="E66" s="87">
        <v>3</v>
      </c>
      <c r="F66" s="41">
        <v>7296120</v>
      </c>
      <c r="G66" s="151">
        <f>IF(ISBLANK(F66),"-",(F66/$D$50*$D$47*$B$68)*($B$57/$D$64))</f>
        <v>156.92349772021052</v>
      </c>
      <c r="H66" s="169">
        <f t="shared" si="0"/>
        <v>98.077186075131578</v>
      </c>
    </row>
    <row r="67" spans="1:8" ht="27" customHeight="1" x14ac:dyDescent="0.4">
      <c r="A67" s="29" t="s">
        <v>95</v>
      </c>
      <c r="B67" s="30">
        <v>1</v>
      </c>
      <c r="C67" s="492"/>
      <c r="D67" s="487"/>
      <c r="E67" s="89">
        <v>4</v>
      </c>
      <c r="F67" s="90"/>
      <c r="G67" s="167" t="str">
        <f>IF(ISBLANK(F67),"-",(F67/$D$50*$D$47*$B$68)*($B$57/$D$64))</f>
        <v>-</v>
      </c>
      <c r="H67" s="170" t="str">
        <f t="shared" si="0"/>
        <v>-</v>
      </c>
    </row>
    <row r="68" spans="1:8" ht="26.25" customHeight="1" x14ac:dyDescent="0.4">
      <c r="A68" s="29" t="s">
        <v>96</v>
      </c>
      <c r="B68" s="91">
        <f>(B67/B66)*(B65/B64)*(B63/B62)*(B61/B60)*B59</f>
        <v>5000</v>
      </c>
      <c r="C68" s="482" t="s">
        <v>97</v>
      </c>
      <c r="D68" s="485">
        <v>1036.05</v>
      </c>
      <c r="E68" s="85">
        <v>1</v>
      </c>
      <c r="F68" s="86">
        <v>7211586</v>
      </c>
      <c r="G68" s="150">
        <f>IF(ISBLANK(F68),"-",(F68/$D$50*$D$47*$B$68)*($B$57/$D$68))</f>
        <v>155.64730156373508</v>
      </c>
      <c r="H68" s="169">
        <f t="shared" si="0"/>
        <v>97.279563477334435</v>
      </c>
    </row>
    <row r="69" spans="1:8" ht="27" customHeight="1" x14ac:dyDescent="0.4">
      <c r="A69" s="75" t="s">
        <v>98</v>
      </c>
      <c r="B69" s="92">
        <f>(D47*B68)/B56*B57</f>
        <v>1036.4719999999998</v>
      </c>
      <c r="C69" s="483"/>
      <c r="D69" s="486"/>
      <c r="E69" s="87">
        <v>2</v>
      </c>
      <c r="F69" s="41">
        <v>7209155</v>
      </c>
      <c r="G69" s="151">
        <f>IF(ISBLANK(F69),"-",(F69/$D$50*$D$47*$B$68)*($B$57/$D$68))</f>
        <v>155.59483341177776</v>
      </c>
      <c r="H69" s="169">
        <f t="shared" si="0"/>
        <v>97.246770882361105</v>
      </c>
    </row>
    <row r="70" spans="1:8" ht="26.25" customHeight="1" x14ac:dyDescent="0.4">
      <c r="A70" s="488" t="s">
        <v>71</v>
      </c>
      <c r="B70" s="489"/>
      <c r="C70" s="483"/>
      <c r="D70" s="486"/>
      <c r="E70" s="87">
        <v>3</v>
      </c>
      <c r="F70" s="41">
        <v>7201537</v>
      </c>
      <c r="G70" s="151">
        <f>IF(ISBLANK(F70),"-",(F70/$D$50*$D$47*$B$68)*($B$57/$D$68))</f>
        <v>155.43041449708792</v>
      </c>
      <c r="H70" s="169">
        <f t="shared" si="0"/>
        <v>97.144009060679949</v>
      </c>
    </row>
    <row r="71" spans="1:8" ht="27" customHeight="1" x14ac:dyDescent="0.4">
      <c r="A71" s="490"/>
      <c r="B71" s="491"/>
      <c r="C71" s="484"/>
      <c r="D71" s="487"/>
      <c r="E71" s="89">
        <v>4</v>
      </c>
      <c r="F71" s="90"/>
      <c r="G71" s="167" t="str">
        <f>IF(ISBLANK(F71),"-",(F71/$D$50*$D$47*$B$68)*($B$57/$D$68))</f>
        <v>-</v>
      </c>
      <c r="H71" s="170" t="str">
        <f t="shared" si="0"/>
        <v>-</v>
      </c>
    </row>
    <row r="72" spans="1:8" ht="26.25" customHeight="1" x14ac:dyDescent="0.4">
      <c r="A72" s="93"/>
      <c r="B72" s="93"/>
      <c r="C72" s="93"/>
      <c r="D72" s="93"/>
      <c r="E72" s="93"/>
      <c r="F72" s="95" t="s">
        <v>64</v>
      </c>
      <c r="G72" s="156">
        <f>AVERAGE(G60:G71)</f>
        <v>155.55107285474602</v>
      </c>
      <c r="H72" s="171">
        <f>AVERAGE(H60:H71)</f>
        <v>97.219420534216283</v>
      </c>
    </row>
    <row r="73" spans="1:8" ht="26.25" customHeight="1" x14ac:dyDescent="0.4">
      <c r="C73" s="93"/>
      <c r="D73" s="93"/>
      <c r="E73" s="93"/>
      <c r="F73" s="96" t="s">
        <v>77</v>
      </c>
      <c r="G73" s="155">
        <f>STDEV(G60:G71)/G72</f>
        <v>6.5725178366110998E-3</v>
      </c>
      <c r="H73" s="155">
        <f>STDEV(H60:H71)/H72</f>
        <v>6.5725178366110772E-3</v>
      </c>
    </row>
    <row r="74" spans="1:8" ht="27" customHeight="1" x14ac:dyDescent="0.4">
      <c r="A74" s="93"/>
      <c r="B74" s="93"/>
      <c r="C74" s="94"/>
      <c r="D74" s="94"/>
      <c r="E74" s="97"/>
      <c r="F74" s="98" t="s">
        <v>20</v>
      </c>
      <c r="G74" s="99">
        <f>COUNT(G60:G71)</f>
        <v>9</v>
      </c>
      <c r="H74" s="99">
        <f>COUNT(H60:H71)</f>
        <v>9</v>
      </c>
    </row>
    <row r="76" spans="1:8" ht="26.25" customHeight="1" x14ac:dyDescent="0.4">
      <c r="A76" s="13" t="s">
        <v>99</v>
      </c>
      <c r="B76" s="100" t="s">
        <v>100</v>
      </c>
      <c r="C76" s="469" t="str">
        <f>B26</f>
        <v>Trimethoprim</v>
      </c>
      <c r="D76" s="469"/>
      <c r="E76" s="101" t="s">
        <v>101</v>
      </c>
      <c r="F76" s="101"/>
      <c r="G76" s="102">
        <f>H72</f>
        <v>97.219420534216283</v>
      </c>
      <c r="H76" s="103"/>
    </row>
    <row r="77" spans="1:8" ht="18.75" x14ac:dyDescent="0.3">
      <c r="A77" s="12" t="s">
        <v>102</v>
      </c>
      <c r="B77" s="12" t="s">
        <v>103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503" t="str">
        <f>B26</f>
        <v>Trimethoprim</v>
      </c>
      <c r="C79" s="503"/>
    </row>
    <row r="80" spans="1:8" ht="26.25" customHeight="1" x14ac:dyDescent="0.4">
      <c r="A80" s="14" t="s">
        <v>41</v>
      </c>
      <c r="B80" s="503" t="str">
        <f>B27</f>
        <v>T7 4</v>
      </c>
      <c r="C80" s="503"/>
    </row>
    <row r="81" spans="1:12" ht="27" customHeight="1" x14ac:dyDescent="0.4">
      <c r="A81" s="14" t="s">
        <v>6</v>
      </c>
      <c r="B81" s="104">
        <f>B28</f>
        <v>99.3</v>
      </c>
    </row>
    <row r="82" spans="1:12" s="2" customFormat="1" ht="27" customHeight="1" x14ac:dyDescent="0.4">
      <c r="A82" s="14" t="s">
        <v>42</v>
      </c>
      <c r="B82" s="16">
        <v>0</v>
      </c>
      <c r="C82" s="471" t="s">
        <v>43</v>
      </c>
      <c r="D82" s="472"/>
      <c r="E82" s="472"/>
      <c r="F82" s="472"/>
      <c r="G82" s="473"/>
      <c r="I82" s="17"/>
      <c r="J82" s="17"/>
      <c r="K82" s="17"/>
      <c r="L82" s="17"/>
    </row>
    <row r="83" spans="1:12" s="2" customFormat="1" ht="19.5" customHeight="1" x14ac:dyDescent="0.3">
      <c r="A83" s="14" t="s">
        <v>44</v>
      </c>
      <c r="B83" s="18">
        <f>B81-B82</f>
        <v>99.3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45</v>
      </c>
      <c r="B84" s="21">
        <v>1</v>
      </c>
      <c r="C84" s="474" t="s">
        <v>104</v>
      </c>
      <c r="D84" s="475"/>
      <c r="E84" s="475"/>
      <c r="F84" s="475"/>
      <c r="G84" s="475"/>
      <c r="H84" s="476"/>
      <c r="I84" s="17"/>
      <c r="J84" s="17"/>
      <c r="K84" s="17"/>
      <c r="L84" s="17"/>
    </row>
    <row r="85" spans="1:12" s="2" customFormat="1" ht="27" customHeight="1" x14ac:dyDescent="0.4">
      <c r="A85" s="14" t="s">
        <v>47</v>
      </c>
      <c r="B85" s="21">
        <v>1</v>
      </c>
      <c r="C85" s="474" t="s">
        <v>105</v>
      </c>
      <c r="D85" s="475"/>
      <c r="E85" s="475"/>
      <c r="F85" s="475"/>
      <c r="G85" s="475"/>
      <c r="H85" s="476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49</v>
      </c>
      <c r="B87" s="26">
        <f>B84/B85</f>
        <v>1</v>
      </c>
      <c r="C87" s="4" t="s">
        <v>50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51</v>
      </c>
      <c r="B89" s="28">
        <v>50</v>
      </c>
      <c r="D89" s="105" t="s">
        <v>52</v>
      </c>
      <c r="E89" s="106"/>
      <c r="F89" s="477" t="s">
        <v>53</v>
      </c>
      <c r="G89" s="478"/>
    </row>
    <row r="90" spans="1:12" ht="27" customHeight="1" x14ac:dyDescent="0.4">
      <c r="A90" s="29" t="s">
        <v>54</v>
      </c>
      <c r="B90" s="30">
        <v>5</v>
      </c>
      <c r="C90" s="107" t="s">
        <v>55</v>
      </c>
      <c r="D90" s="32" t="s">
        <v>56</v>
      </c>
      <c r="E90" s="33" t="s">
        <v>57</v>
      </c>
      <c r="F90" s="32" t="s">
        <v>56</v>
      </c>
      <c r="G90" s="108" t="s">
        <v>57</v>
      </c>
      <c r="I90" s="35" t="s">
        <v>58</v>
      </c>
    </row>
    <row r="91" spans="1:12" ht="26.25" customHeight="1" x14ac:dyDescent="0.4">
      <c r="A91" s="29" t="s">
        <v>59</v>
      </c>
      <c r="B91" s="30">
        <v>100</v>
      </c>
      <c r="C91" s="109">
        <v>1</v>
      </c>
      <c r="D91" s="221">
        <v>7119769</v>
      </c>
      <c r="E91" s="37">
        <f>IF(ISBLANK(D91),"-",$D$101/$D$98*D91)</f>
        <v>8220956.6358973375</v>
      </c>
      <c r="F91" s="221">
        <v>8071052</v>
      </c>
      <c r="G91" s="38">
        <f>IF(ISBLANK(F91),"-",$D$101/$F$98*F91)</f>
        <v>8247536.9187560007</v>
      </c>
      <c r="I91" s="39"/>
    </row>
    <row r="92" spans="1:12" ht="26.25" customHeight="1" x14ac:dyDescent="0.4">
      <c r="A92" s="29" t="s">
        <v>60</v>
      </c>
      <c r="B92" s="30">
        <v>1</v>
      </c>
      <c r="C92" s="94">
        <v>2</v>
      </c>
      <c r="D92" s="226">
        <v>7128117</v>
      </c>
      <c r="E92" s="42">
        <f>IF(ISBLANK(D92),"-",$D$101/$D$98*D92)</f>
        <v>8230595.7893581409</v>
      </c>
      <c r="F92" s="226">
        <v>8093674</v>
      </c>
      <c r="G92" s="43">
        <f>IF(ISBLANK(F92),"-",$D$101/$F$98*F92)</f>
        <v>8270653.580645442</v>
      </c>
      <c r="I92" s="479">
        <f>ABS((F96/D96*D95)-F95)/D95</f>
        <v>3.9377328516368194E-3</v>
      </c>
    </row>
    <row r="93" spans="1:12" ht="26.25" customHeight="1" x14ac:dyDescent="0.4">
      <c r="A93" s="29" t="s">
        <v>61</v>
      </c>
      <c r="B93" s="30">
        <v>1</v>
      </c>
      <c r="C93" s="94">
        <v>3</v>
      </c>
      <c r="D93" s="226">
        <v>7124463</v>
      </c>
      <c r="E93" s="42">
        <f>IF(ISBLANK(D93),"-",$D$101/$D$98*D93)</f>
        <v>8226376.6390531845</v>
      </c>
      <c r="F93" s="226">
        <v>8069291</v>
      </c>
      <c r="G93" s="43">
        <f>IF(ISBLANK(F93),"-",$D$101/$F$98*F93)</f>
        <v>8245737.4120109156</v>
      </c>
      <c r="I93" s="479"/>
    </row>
    <row r="94" spans="1:12" ht="27" customHeight="1" x14ac:dyDescent="0.4">
      <c r="A94" s="29" t="s">
        <v>62</v>
      </c>
      <c r="B94" s="30">
        <v>1</v>
      </c>
      <c r="C94" s="110">
        <v>4</v>
      </c>
      <c r="D94" s="231"/>
      <c r="E94" s="46" t="str">
        <f>IF(ISBLANK(D94),"-",$D$101/$D$98*D94)</f>
        <v>-</v>
      </c>
      <c r="F94" s="231"/>
      <c r="G94" s="47" t="str">
        <f>IF(ISBLANK(F94),"-",$D$101/$F$98*F94)</f>
        <v>-</v>
      </c>
      <c r="I94" s="48"/>
    </row>
    <row r="95" spans="1:12" ht="27" customHeight="1" x14ac:dyDescent="0.4">
      <c r="A95" s="29" t="s">
        <v>63</v>
      </c>
      <c r="B95" s="30">
        <v>1</v>
      </c>
      <c r="C95" s="111" t="s">
        <v>64</v>
      </c>
      <c r="D95" s="112">
        <f>AVERAGE(D91:D94)</f>
        <v>7124116.333333333</v>
      </c>
      <c r="E95" s="51">
        <f>AVERAGE(E91:E94)</f>
        <v>8225976.354769554</v>
      </c>
      <c r="F95" s="113">
        <f>AVERAGE(F91:F94)</f>
        <v>8078005.666666667</v>
      </c>
      <c r="G95" s="114">
        <f>AVERAGE(G91:G94)</f>
        <v>8254642.6371374531</v>
      </c>
    </row>
    <row r="96" spans="1:12" ht="26.25" customHeight="1" x14ac:dyDescent="0.4">
      <c r="A96" s="29" t="s">
        <v>65</v>
      </c>
      <c r="B96" s="15">
        <v>1</v>
      </c>
      <c r="C96" s="115" t="s">
        <v>106</v>
      </c>
      <c r="D96" s="116">
        <v>31.01</v>
      </c>
      <c r="E96" s="44"/>
      <c r="F96" s="55">
        <v>35.04</v>
      </c>
    </row>
    <row r="97" spans="1:10" ht="26.25" customHeight="1" x14ac:dyDescent="0.4">
      <c r="A97" s="29" t="s">
        <v>67</v>
      </c>
      <c r="B97" s="15">
        <v>1</v>
      </c>
      <c r="C97" s="117" t="s">
        <v>107</v>
      </c>
      <c r="D97" s="118">
        <f>D96*$B$87</f>
        <v>31.01</v>
      </c>
      <c r="E97" s="58"/>
      <c r="F97" s="57">
        <f>F96*$B$87</f>
        <v>35.04</v>
      </c>
    </row>
    <row r="98" spans="1:10" ht="19.5" customHeight="1" x14ac:dyDescent="0.3">
      <c r="A98" s="29" t="s">
        <v>69</v>
      </c>
      <c r="B98" s="119">
        <f>(B97/B96)*(B95/B94)*(B93/B92)*(B91/B90)*B89</f>
        <v>1000</v>
      </c>
      <c r="C98" s="117" t="s">
        <v>108</v>
      </c>
      <c r="D98" s="120">
        <f>D97*$B$83/100</f>
        <v>30.792930000000002</v>
      </c>
      <c r="E98" s="61"/>
      <c r="F98" s="60">
        <f>F97*$B$83/100</f>
        <v>34.794719999999998</v>
      </c>
    </row>
    <row r="99" spans="1:10" ht="19.5" customHeight="1" x14ac:dyDescent="0.3">
      <c r="A99" s="465" t="s">
        <v>71</v>
      </c>
      <c r="B99" s="480"/>
      <c r="C99" s="117" t="s">
        <v>109</v>
      </c>
      <c r="D99" s="121">
        <f>D98/$B$98</f>
        <v>3.0792930000000003E-2</v>
      </c>
      <c r="E99" s="61"/>
      <c r="F99" s="64">
        <f>F98/$B$98</f>
        <v>3.4794720000000001E-2</v>
      </c>
      <c r="G99" s="122"/>
      <c r="H99" s="53"/>
    </row>
    <row r="100" spans="1:10" ht="19.5" customHeight="1" x14ac:dyDescent="0.3">
      <c r="A100" s="467"/>
      <c r="B100" s="481"/>
      <c r="C100" s="117" t="s">
        <v>73</v>
      </c>
      <c r="D100" s="123">
        <f>$B$56/$B$116</f>
        <v>3.5555555555555556E-2</v>
      </c>
      <c r="F100" s="69"/>
      <c r="G100" s="124"/>
      <c r="H100" s="53"/>
    </row>
    <row r="101" spans="1:10" ht="18.75" x14ac:dyDescent="0.3">
      <c r="C101" s="117" t="s">
        <v>74</v>
      </c>
      <c r="D101" s="118">
        <f>D100*$B$98</f>
        <v>35.555555555555557</v>
      </c>
      <c r="F101" s="69"/>
      <c r="G101" s="122"/>
      <c r="H101" s="53"/>
    </row>
    <row r="102" spans="1:10" ht="19.5" customHeight="1" x14ac:dyDescent="0.3">
      <c r="C102" s="125" t="s">
        <v>75</v>
      </c>
      <c r="D102" s="126">
        <f>D101/B34</f>
        <v>35.555555555555557</v>
      </c>
      <c r="F102" s="73"/>
      <c r="G102" s="122"/>
      <c r="H102" s="53"/>
      <c r="J102" s="127"/>
    </row>
    <row r="103" spans="1:10" ht="18.75" x14ac:dyDescent="0.3">
      <c r="C103" s="128" t="s">
        <v>110</v>
      </c>
      <c r="D103" s="129">
        <f>AVERAGE(E91:E94,G91:G94)</f>
        <v>8240309.495953504</v>
      </c>
      <c r="F103" s="73"/>
      <c r="G103" s="130"/>
      <c r="H103" s="53"/>
      <c r="J103" s="131"/>
    </row>
    <row r="104" spans="1:10" ht="18.75" x14ac:dyDescent="0.3">
      <c r="C104" s="96" t="s">
        <v>77</v>
      </c>
      <c r="D104" s="132">
        <f>STDEV(E91:E94,G91:G94)/D103</f>
        <v>2.2148308113952055E-3</v>
      </c>
      <c r="F104" s="73"/>
      <c r="G104" s="122"/>
      <c r="H104" s="53"/>
      <c r="J104" s="131"/>
    </row>
    <row r="105" spans="1:10" ht="19.5" customHeight="1" x14ac:dyDescent="0.3">
      <c r="C105" s="98" t="s">
        <v>20</v>
      </c>
      <c r="D105" s="133">
        <f>COUNT(E91:E94,G91:G94)</f>
        <v>6</v>
      </c>
      <c r="F105" s="73"/>
      <c r="G105" s="122"/>
      <c r="H105" s="53"/>
      <c r="J105" s="131"/>
    </row>
    <row r="106" spans="1:10" ht="19.5" customHeight="1" x14ac:dyDescent="0.3">
      <c r="A106" s="77"/>
      <c r="B106" s="77"/>
      <c r="C106" s="77"/>
      <c r="D106" s="77"/>
      <c r="E106" s="77"/>
    </row>
    <row r="107" spans="1:10" ht="27" customHeight="1" x14ac:dyDescent="0.4">
      <c r="A107" s="27" t="s">
        <v>111</v>
      </c>
      <c r="B107" s="28">
        <v>900</v>
      </c>
      <c r="C107" s="172" t="s">
        <v>112</v>
      </c>
      <c r="D107" s="172" t="s">
        <v>56</v>
      </c>
      <c r="E107" s="172" t="s">
        <v>113</v>
      </c>
      <c r="F107" s="134" t="s">
        <v>114</v>
      </c>
    </row>
    <row r="108" spans="1:10" ht="26.25" customHeight="1" x14ac:dyDescent="0.4">
      <c r="A108" s="29" t="s">
        <v>115</v>
      </c>
      <c r="B108" s="30">
        <v>5</v>
      </c>
      <c r="C108" s="177">
        <v>1</v>
      </c>
      <c r="D108" s="178">
        <v>7679542</v>
      </c>
      <c r="E108" s="152">
        <f t="shared" ref="E108:E113" si="1">IF(ISBLANK(D108),"-",D108/$D$103*$D$100*$B$116)</f>
        <v>149.11171972404432</v>
      </c>
      <c r="F108" s="179">
        <f t="shared" ref="F108:F113" si="2">IF(ISBLANK(D108), "-", (E108/$B$56)*100)</f>
        <v>93.194824827527697</v>
      </c>
    </row>
    <row r="109" spans="1:10" ht="26.25" customHeight="1" x14ac:dyDescent="0.4">
      <c r="A109" s="29" t="s">
        <v>88</v>
      </c>
      <c r="B109" s="30">
        <v>25</v>
      </c>
      <c r="C109" s="173">
        <v>2</v>
      </c>
      <c r="D109" s="175">
        <v>7667231</v>
      </c>
      <c r="E109" s="153">
        <f t="shared" si="1"/>
        <v>148.87268015872615</v>
      </c>
      <c r="F109" s="180">
        <f t="shared" si="2"/>
        <v>93.045425099203854</v>
      </c>
    </row>
    <row r="110" spans="1:10" ht="26.25" customHeight="1" x14ac:dyDescent="0.4">
      <c r="A110" s="29" t="s">
        <v>89</v>
      </c>
      <c r="B110" s="30">
        <v>1</v>
      </c>
      <c r="C110" s="173">
        <v>3</v>
      </c>
      <c r="D110" s="175">
        <v>7656243</v>
      </c>
      <c r="E110" s="153">
        <f t="shared" si="1"/>
        <v>148.65932894893683</v>
      </c>
      <c r="F110" s="180">
        <f t="shared" si="2"/>
        <v>92.91208059308552</v>
      </c>
    </row>
    <row r="111" spans="1:10" ht="26.25" customHeight="1" x14ac:dyDescent="0.4">
      <c r="A111" s="29" t="s">
        <v>90</v>
      </c>
      <c r="B111" s="30">
        <v>1</v>
      </c>
      <c r="C111" s="173">
        <v>4</v>
      </c>
      <c r="D111" s="175">
        <v>7683307</v>
      </c>
      <c r="E111" s="153">
        <f t="shared" si="1"/>
        <v>149.18482377435893</v>
      </c>
      <c r="F111" s="180">
        <f t="shared" si="2"/>
        <v>93.240514858974336</v>
      </c>
    </row>
    <row r="112" spans="1:10" ht="26.25" customHeight="1" x14ac:dyDescent="0.4">
      <c r="A112" s="29" t="s">
        <v>91</v>
      </c>
      <c r="B112" s="30">
        <v>1</v>
      </c>
      <c r="C112" s="173">
        <v>5</v>
      </c>
      <c r="D112" s="175">
        <v>7667416</v>
      </c>
      <c r="E112" s="153">
        <f t="shared" si="1"/>
        <v>148.87627225681598</v>
      </c>
      <c r="F112" s="180">
        <f t="shared" si="2"/>
        <v>93.047670160509995</v>
      </c>
    </row>
    <row r="113" spans="1:10" ht="27" customHeight="1" x14ac:dyDescent="0.4">
      <c r="A113" s="29" t="s">
        <v>93</v>
      </c>
      <c r="B113" s="30">
        <v>1</v>
      </c>
      <c r="C113" s="174">
        <v>6</v>
      </c>
      <c r="D113" s="176">
        <v>7667219</v>
      </c>
      <c r="E113" s="154">
        <f t="shared" si="1"/>
        <v>148.87244715776899</v>
      </c>
      <c r="F113" s="181">
        <f t="shared" si="2"/>
        <v>93.045279473605618</v>
      </c>
    </row>
    <row r="114" spans="1:10" ht="27" customHeight="1" x14ac:dyDescent="0.4">
      <c r="A114" s="29" t="s">
        <v>94</v>
      </c>
      <c r="B114" s="30">
        <v>1</v>
      </c>
      <c r="C114" s="135"/>
      <c r="D114" s="94"/>
      <c r="E114" s="3"/>
      <c r="F114" s="182"/>
    </row>
    <row r="115" spans="1:10" ht="26.25" customHeight="1" x14ac:dyDescent="0.4">
      <c r="A115" s="29" t="s">
        <v>95</v>
      </c>
      <c r="B115" s="30">
        <v>1</v>
      </c>
      <c r="C115" s="135"/>
      <c r="D115" s="159" t="s">
        <v>64</v>
      </c>
      <c r="E115" s="161">
        <f>AVERAGE(E108:E113)</f>
        <v>148.92954533677522</v>
      </c>
      <c r="F115" s="183">
        <f>AVERAGE(F108:F113)</f>
        <v>93.080965835484506</v>
      </c>
    </row>
    <row r="116" spans="1:10" ht="27" customHeight="1" x14ac:dyDescent="0.4">
      <c r="A116" s="29" t="s">
        <v>96</v>
      </c>
      <c r="B116" s="59">
        <f>(B115/B114)*(B113/B112)*(B111/B110)*(B109/B108)*B107</f>
        <v>4500</v>
      </c>
      <c r="C116" s="136"/>
      <c r="D116" s="160" t="s">
        <v>77</v>
      </c>
      <c r="E116" s="158">
        <f>STDEV(E108:E113)/E115</f>
        <v>1.2764894894504802E-3</v>
      </c>
      <c r="F116" s="137">
        <f>STDEV(F108:F113)/F115</f>
        <v>1.2764894894504745E-3</v>
      </c>
      <c r="I116" s="3"/>
    </row>
    <row r="117" spans="1:10" ht="27" customHeight="1" x14ac:dyDescent="0.4">
      <c r="A117" s="465" t="s">
        <v>71</v>
      </c>
      <c r="B117" s="466"/>
      <c r="C117" s="138"/>
      <c r="D117" s="98" t="s">
        <v>20</v>
      </c>
      <c r="E117" s="163">
        <f>COUNT(E108:E113)</f>
        <v>6</v>
      </c>
      <c r="F117" s="164">
        <f>COUNT(F108:F113)</f>
        <v>6</v>
      </c>
      <c r="I117" s="3"/>
      <c r="J117" s="131"/>
    </row>
    <row r="118" spans="1:10" ht="26.25" customHeight="1" x14ac:dyDescent="0.3">
      <c r="A118" s="467"/>
      <c r="B118" s="468"/>
      <c r="C118" s="3"/>
      <c r="D118" s="162"/>
      <c r="E118" s="493" t="s">
        <v>116</v>
      </c>
      <c r="F118" s="494"/>
      <c r="G118" s="3"/>
      <c r="H118" s="3"/>
      <c r="I118" s="3"/>
    </row>
    <row r="119" spans="1:10" ht="25.5" customHeight="1" x14ac:dyDescent="0.4">
      <c r="A119" s="147"/>
      <c r="B119" s="25"/>
      <c r="C119" s="3"/>
      <c r="D119" s="160" t="s">
        <v>117</v>
      </c>
      <c r="E119" s="165">
        <f>MIN(E108:E113)</f>
        <v>148.65932894893683</v>
      </c>
      <c r="F119" s="184">
        <f>MIN(F108:F113)</f>
        <v>92.91208059308552</v>
      </c>
      <c r="G119" s="3"/>
      <c r="H119" s="3"/>
      <c r="I119" s="3"/>
    </row>
    <row r="120" spans="1:10" ht="24" customHeight="1" x14ac:dyDescent="0.4">
      <c r="A120" s="147"/>
      <c r="B120" s="25"/>
      <c r="C120" s="3"/>
      <c r="D120" s="70" t="s">
        <v>118</v>
      </c>
      <c r="E120" s="166">
        <f>MAX(E108:E113)</f>
        <v>149.18482377435893</v>
      </c>
      <c r="F120" s="185">
        <f>MAX(F108:F113)</f>
        <v>93.240514858974336</v>
      </c>
      <c r="G120" s="3"/>
      <c r="H120" s="3"/>
      <c r="I120" s="3"/>
    </row>
    <row r="121" spans="1:10" ht="27" customHeight="1" x14ac:dyDescent="0.3">
      <c r="A121" s="147"/>
      <c r="B121" s="25"/>
      <c r="C121" s="3"/>
      <c r="D121" s="3"/>
      <c r="E121" s="3"/>
      <c r="F121" s="94"/>
      <c r="G121" s="3"/>
      <c r="H121" s="3"/>
      <c r="I121" s="3"/>
    </row>
    <row r="122" spans="1:10" ht="25.5" customHeight="1" x14ac:dyDescent="0.3">
      <c r="A122" s="147"/>
      <c r="B122" s="25"/>
      <c r="C122" s="3"/>
      <c r="D122" s="3"/>
      <c r="E122" s="3"/>
      <c r="F122" s="94"/>
      <c r="G122" s="3"/>
      <c r="H122" s="3"/>
      <c r="I122" s="3"/>
    </row>
    <row r="123" spans="1:10" ht="18.75" x14ac:dyDescent="0.3">
      <c r="A123" s="147"/>
      <c r="B123" s="25"/>
      <c r="C123" s="3"/>
      <c r="D123" s="3"/>
      <c r="E123" s="3"/>
      <c r="F123" s="94"/>
      <c r="G123" s="3"/>
      <c r="H123" s="3"/>
      <c r="I123" s="3"/>
    </row>
    <row r="124" spans="1:10" ht="45.75" customHeight="1" x14ac:dyDescent="0.65">
      <c r="A124" s="13" t="s">
        <v>99</v>
      </c>
      <c r="B124" s="100" t="s">
        <v>119</v>
      </c>
      <c r="C124" s="469" t="str">
        <f>B26</f>
        <v>Trimethoprim</v>
      </c>
      <c r="D124" s="469"/>
      <c r="E124" s="101" t="s">
        <v>120</v>
      </c>
      <c r="F124" s="101"/>
      <c r="G124" s="186">
        <f>F115</f>
        <v>93.080965835484506</v>
      </c>
      <c r="H124" s="3"/>
      <c r="I124" s="3"/>
    </row>
    <row r="125" spans="1:10" ht="45.75" customHeight="1" x14ac:dyDescent="0.65">
      <c r="A125" s="13"/>
      <c r="B125" s="100" t="s">
        <v>121</v>
      </c>
      <c r="C125" s="14" t="s">
        <v>122</v>
      </c>
      <c r="D125" s="186">
        <f>MIN(F108:F113)</f>
        <v>92.91208059308552</v>
      </c>
      <c r="E125" s="111" t="s">
        <v>123</v>
      </c>
      <c r="F125" s="186">
        <f>MAX(F108:F113)</f>
        <v>93.240514858974336</v>
      </c>
      <c r="G125" s="102"/>
      <c r="H125" s="3"/>
      <c r="I125" s="3"/>
    </row>
    <row r="126" spans="1:10" ht="19.5" customHeight="1" x14ac:dyDescent="0.3">
      <c r="A126" s="139"/>
      <c r="B126" s="139"/>
      <c r="C126" s="140"/>
      <c r="D126" s="140"/>
      <c r="E126" s="140"/>
      <c r="F126" s="140"/>
      <c r="G126" s="140"/>
      <c r="H126" s="140"/>
    </row>
    <row r="127" spans="1:10" ht="18.75" x14ac:dyDescent="0.3">
      <c r="B127" s="470" t="s">
        <v>26</v>
      </c>
      <c r="C127" s="470"/>
      <c r="E127" s="107" t="s">
        <v>27</v>
      </c>
      <c r="F127" s="141"/>
      <c r="G127" s="470" t="s">
        <v>28</v>
      </c>
      <c r="H127" s="470"/>
    </row>
    <row r="128" spans="1:10" ht="69.95" customHeight="1" x14ac:dyDescent="0.3">
      <c r="A128" s="142" t="s">
        <v>29</v>
      </c>
      <c r="B128" s="143"/>
      <c r="C128" s="143"/>
      <c r="E128" s="143"/>
      <c r="F128" s="3"/>
      <c r="G128" s="144"/>
      <c r="H128" s="144"/>
    </row>
    <row r="129" spans="1:9" ht="69.95" customHeight="1" x14ac:dyDescent="0.3">
      <c r="A129" s="142" t="s">
        <v>30</v>
      </c>
      <c r="B129" s="145"/>
      <c r="C129" s="145"/>
      <c r="E129" s="145"/>
      <c r="F129" s="3"/>
      <c r="G129" s="146"/>
      <c r="H129" s="146"/>
    </row>
    <row r="130" spans="1:9" ht="18.75" x14ac:dyDescent="0.3">
      <c r="A130" s="93"/>
      <c r="B130" s="93"/>
      <c r="C130" s="94"/>
      <c r="D130" s="94"/>
      <c r="E130" s="94"/>
      <c r="F130" s="97"/>
      <c r="G130" s="94"/>
      <c r="H130" s="94"/>
      <c r="I130" s="3"/>
    </row>
    <row r="131" spans="1:9" ht="18.75" x14ac:dyDescent="0.3">
      <c r="A131" s="93"/>
      <c r="B131" s="93"/>
      <c r="C131" s="94"/>
      <c r="D131" s="94"/>
      <c r="E131" s="94"/>
      <c r="F131" s="97"/>
      <c r="G131" s="94"/>
      <c r="H131" s="94"/>
      <c r="I131" s="3"/>
    </row>
    <row r="132" spans="1:9" ht="18.75" x14ac:dyDescent="0.3">
      <c r="A132" s="93"/>
      <c r="B132" s="93"/>
      <c r="C132" s="94"/>
      <c r="D132" s="94"/>
      <c r="E132" s="94"/>
      <c r="F132" s="97"/>
      <c r="G132" s="94"/>
      <c r="H132" s="94"/>
      <c r="I132" s="3"/>
    </row>
    <row r="133" spans="1:9" ht="18.75" x14ac:dyDescent="0.3">
      <c r="A133" s="93"/>
      <c r="B133" s="93"/>
      <c r="C133" s="94"/>
      <c r="D133" s="94"/>
      <c r="E133" s="94"/>
      <c r="F133" s="97"/>
      <c r="G133" s="94"/>
      <c r="H133" s="94"/>
      <c r="I133" s="3"/>
    </row>
    <row r="134" spans="1:9" ht="18.75" x14ac:dyDescent="0.3">
      <c r="A134" s="93"/>
      <c r="B134" s="93"/>
      <c r="C134" s="94"/>
      <c r="D134" s="94"/>
      <c r="E134" s="94"/>
      <c r="F134" s="97"/>
      <c r="G134" s="94"/>
      <c r="H134" s="94"/>
      <c r="I134" s="3"/>
    </row>
    <row r="135" spans="1:9" ht="18.75" x14ac:dyDescent="0.3">
      <c r="A135" s="93"/>
      <c r="B135" s="93"/>
      <c r="C135" s="94"/>
      <c r="D135" s="94"/>
      <c r="E135" s="94"/>
      <c r="F135" s="97"/>
      <c r="G135" s="94"/>
      <c r="H135" s="94"/>
      <c r="I135" s="3"/>
    </row>
    <row r="136" spans="1:9" ht="18.75" x14ac:dyDescent="0.3">
      <c r="A136" s="93"/>
      <c r="B136" s="93"/>
      <c r="C136" s="94"/>
      <c r="D136" s="94"/>
      <c r="E136" s="94"/>
      <c r="F136" s="97"/>
      <c r="G136" s="94"/>
      <c r="H136" s="94"/>
      <c r="I136" s="3"/>
    </row>
    <row r="137" spans="1:9" ht="18.75" x14ac:dyDescent="0.3">
      <c r="A137" s="93"/>
      <c r="B137" s="93"/>
      <c r="C137" s="94"/>
      <c r="D137" s="94"/>
      <c r="E137" s="94"/>
      <c r="F137" s="97"/>
      <c r="G137" s="94"/>
      <c r="H137" s="94"/>
      <c r="I137" s="3"/>
    </row>
    <row r="138" spans="1:9" ht="18.75" x14ac:dyDescent="0.3">
      <c r="A138" s="93"/>
      <c r="B138" s="93"/>
      <c r="C138" s="94"/>
      <c r="D138" s="94"/>
      <c r="E138" s="94"/>
      <c r="F138" s="97"/>
      <c r="G138" s="94"/>
      <c r="H138" s="94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3" t="s">
        <v>31</v>
      </c>
      <c r="B1" s="463"/>
      <c r="C1" s="463"/>
      <c r="D1" s="463"/>
      <c r="E1" s="463"/>
      <c r="F1" s="463"/>
      <c r="G1" s="463"/>
      <c r="H1" s="463"/>
      <c r="I1" s="463"/>
    </row>
    <row r="2" spans="1:9" ht="18.75" customHeight="1" x14ac:dyDescent="0.25">
      <c r="A2" s="463"/>
      <c r="B2" s="463"/>
      <c r="C2" s="463"/>
      <c r="D2" s="463"/>
      <c r="E2" s="463"/>
      <c r="F2" s="463"/>
      <c r="G2" s="463"/>
      <c r="H2" s="463"/>
      <c r="I2" s="463"/>
    </row>
    <row r="3" spans="1:9" ht="18.75" customHeight="1" x14ac:dyDescent="0.25">
      <c r="A3" s="463"/>
      <c r="B3" s="463"/>
      <c r="C3" s="463"/>
      <c r="D3" s="463"/>
      <c r="E3" s="463"/>
      <c r="F3" s="463"/>
      <c r="G3" s="463"/>
      <c r="H3" s="463"/>
      <c r="I3" s="463"/>
    </row>
    <row r="4" spans="1:9" ht="18.75" customHeight="1" x14ac:dyDescent="0.25">
      <c r="A4" s="463"/>
      <c r="B4" s="463"/>
      <c r="C4" s="463"/>
      <c r="D4" s="463"/>
      <c r="E4" s="463"/>
      <c r="F4" s="463"/>
      <c r="G4" s="463"/>
      <c r="H4" s="463"/>
      <c r="I4" s="463"/>
    </row>
    <row r="5" spans="1:9" ht="18.75" customHeight="1" x14ac:dyDescent="0.25">
      <c r="A5" s="463"/>
      <c r="B5" s="463"/>
      <c r="C5" s="463"/>
      <c r="D5" s="463"/>
      <c r="E5" s="463"/>
      <c r="F5" s="463"/>
      <c r="G5" s="463"/>
      <c r="H5" s="463"/>
      <c r="I5" s="463"/>
    </row>
    <row r="6" spans="1:9" ht="18.75" customHeight="1" x14ac:dyDescent="0.25">
      <c r="A6" s="463"/>
      <c r="B6" s="463"/>
      <c r="C6" s="463"/>
      <c r="D6" s="463"/>
      <c r="E6" s="463"/>
      <c r="F6" s="463"/>
      <c r="G6" s="463"/>
      <c r="H6" s="463"/>
      <c r="I6" s="463"/>
    </row>
    <row r="7" spans="1:9" ht="18.75" customHeight="1" x14ac:dyDescent="0.25">
      <c r="A7" s="463"/>
      <c r="B7" s="463"/>
      <c r="C7" s="463"/>
      <c r="D7" s="463"/>
      <c r="E7" s="463"/>
      <c r="F7" s="463"/>
      <c r="G7" s="463"/>
      <c r="H7" s="463"/>
      <c r="I7" s="463"/>
    </row>
    <row r="8" spans="1:9" x14ac:dyDescent="0.25">
      <c r="A8" s="464" t="s">
        <v>32</v>
      </c>
      <c r="B8" s="464"/>
      <c r="C8" s="464"/>
      <c r="D8" s="464"/>
      <c r="E8" s="464"/>
      <c r="F8" s="464"/>
      <c r="G8" s="464"/>
      <c r="H8" s="464"/>
      <c r="I8" s="464"/>
    </row>
    <row r="9" spans="1:9" x14ac:dyDescent="0.25">
      <c r="A9" s="464"/>
      <c r="B9" s="464"/>
      <c r="C9" s="464"/>
      <c r="D9" s="464"/>
      <c r="E9" s="464"/>
      <c r="F9" s="464"/>
      <c r="G9" s="464"/>
      <c r="H9" s="464"/>
      <c r="I9" s="464"/>
    </row>
    <row r="10" spans="1:9" x14ac:dyDescent="0.25">
      <c r="A10" s="464"/>
      <c r="B10" s="464"/>
      <c r="C10" s="464"/>
      <c r="D10" s="464"/>
      <c r="E10" s="464"/>
      <c r="F10" s="464"/>
      <c r="G10" s="464"/>
      <c r="H10" s="464"/>
      <c r="I10" s="464"/>
    </row>
    <row r="11" spans="1:9" x14ac:dyDescent="0.25">
      <c r="A11" s="464"/>
      <c r="B11" s="464"/>
      <c r="C11" s="464"/>
      <c r="D11" s="464"/>
      <c r="E11" s="464"/>
      <c r="F11" s="464"/>
      <c r="G11" s="464"/>
      <c r="H11" s="464"/>
      <c r="I11" s="464"/>
    </row>
    <row r="12" spans="1:9" x14ac:dyDescent="0.25">
      <c r="A12" s="464"/>
      <c r="B12" s="464"/>
      <c r="C12" s="464"/>
      <c r="D12" s="464"/>
      <c r="E12" s="464"/>
      <c r="F12" s="464"/>
      <c r="G12" s="464"/>
      <c r="H12" s="464"/>
      <c r="I12" s="464"/>
    </row>
    <row r="13" spans="1:9" x14ac:dyDescent="0.25">
      <c r="A13" s="464"/>
      <c r="B13" s="464"/>
      <c r="C13" s="464"/>
      <c r="D13" s="464"/>
      <c r="E13" s="464"/>
      <c r="F13" s="464"/>
      <c r="G13" s="464"/>
      <c r="H13" s="464"/>
      <c r="I13" s="464"/>
    </row>
    <row r="14" spans="1:9" x14ac:dyDescent="0.25">
      <c r="A14" s="464"/>
      <c r="B14" s="464"/>
      <c r="C14" s="464"/>
      <c r="D14" s="464"/>
      <c r="E14" s="464"/>
      <c r="F14" s="464"/>
      <c r="G14" s="464"/>
      <c r="H14" s="464"/>
      <c r="I14" s="464"/>
    </row>
    <row r="15" spans="1:9" ht="19.5" customHeight="1" x14ac:dyDescent="0.3">
      <c r="A15" s="187"/>
    </row>
    <row r="16" spans="1:9" ht="19.5" customHeight="1" x14ac:dyDescent="0.3">
      <c r="A16" s="496" t="s">
        <v>33</v>
      </c>
      <c r="B16" s="497"/>
      <c r="C16" s="497"/>
      <c r="D16" s="497"/>
      <c r="E16" s="497"/>
      <c r="F16" s="497"/>
      <c r="G16" s="497"/>
      <c r="H16" s="498"/>
    </row>
    <row r="17" spans="1:14" ht="20.25" customHeight="1" x14ac:dyDescent="0.25">
      <c r="A17" s="499" t="s">
        <v>34</v>
      </c>
      <c r="B17" s="499"/>
      <c r="C17" s="499"/>
      <c r="D17" s="499"/>
      <c r="E17" s="499"/>
      <c r="F17" s="499"/>
      <c r="G17" s="499"/>
      <c r="H17" s="499"/>
    </row>
    <row r="18" spans="1:14" ht="26.25" customHeight="1" x14ac:dyDescent="0.4">
      <c r="A18" s="189" t="s">
        <v>35</v>
      </c>
      <c r="B18" s="495" t="s">
        <v>5</v>
      </c>
      <c r="C18" s="495"/>
      <c r="D18" s="334"/>
      <c r="E18" s="190"/>
      <c r="F18" s="191"/>
      <c r="G18" s="191"/>
      <c r="H18" s="191"/>
    </row>
    <row r="19" spans="1:14" ht="26.25" customHeight="1" x14ac:dyDescent="0.4">
      <c r="A19" s="189" t="s">
        <v>36</v>
      </c>
      <c r="B19" s="192" t="s">
        <v>7</v>
      </c>
      <c r="C19" s="343">
        <v>1</v>
      </c>
      <c r="D19" s="191"/>
      <c r="E19" s="191"/>
      <c r="F19" s="191"/>
      <c r="G19" s="191"/>
      <c r="H19" s="191"/>
    </row>
    <row r="20" spans="1:14" ht="26.25" customHeight="1" x14ac:dyDescent="0.4">
      <c r="A20" s="189" t="s">
        <v>37</v>
      </c>
      <c r="B20" s="500" t="s">
        <v>132</v>
      </c>
      <c r="C20" s="500"/>
      <c r="D20" s="191"/>
      <c r="E20" s="191"/>
      <c r="F20" s="191"/>
      <c r="G20" s="191"/>
      <c r="H20" s="191"/>
    </row>
    <row r="21" spans="1:14" ht="26.25" customHeight="1" x14ac:dyDescent="0.4">
      <c r="A21" s="189" t="s">
        <v>38</v>
      </c>
      <c r="B21" s="500" t="s">
        <v>11</v>
      </c>
      <c r="C21" s="500"/>
      <c r="D21" s="500"/>
      <c r="E21" s="500"/>
      <c r="F21" s="500"/>
      <c r="G21" s="500"/>
      <c r="H21" s="500"/>
      <c r="I21" s="193"/>
    </row>
    <row r="22" spans="1:14" ht="26.25" customHeight="1" x14ac:dyDescent="0.4">
      <c r="A22" s="189" t="s">
        <v>39</v>
      </c>
      <c r="B22" s="194">
        <v>42713</v>
      </c>
      <c r="C22" s="191"/>
      <c r="D22" s="191"/>
      <c r="E22" s="191"/>
      <c r="F22" s="191"/>
      <c r="G22" s="191"/>
      <c r="H22" s="191"/>
    </row>
    <row r="23" spans="1:14" ht="26.25" customHeight="1" x14ac:dyDescent="0.4">
      <c r="A23" s="189" t="s">
        <v>40</v>
      </c>
      <c r="B23" s="194">
        <v>42718</v>
      </c>
      <c r="C23" s="191"/>
      <c r="D23" s="191"/>
      <c r="E23" s="191"/>
      <c r="F23" s="191"/>
      <c r="G23" s="191"/>
      <c r="H23" s="191"/>
    </row>
    <row r="24" spans="1:14" ht="18.75" x14ac:dyDescent="0.3">
      <c r="A24" s="189"/>
      <c r="B24" s="195"/>
    </row>
    <row r="25" spans="1:14" ht="18.75" x14ac:dyDescent="0.3">
      <c r="A25" s="196" t="s">
        <v>1</v>
      </c>
      <c r="B25" s="195"/>
    </row>
    <row r="26" spans="1:14" ht="26.25" customHeight="1" x14ac:dyDescent="0.4">
      <c r="A26" s="197" t="s">
        <v>4</v>
      </c>
      <c r="B26" s="495" t="s">
        <v>124</v>
      </c>
      <c r="C26" s="495"/>
    </row>
    <row r="27" spans="1:14" ht="26.25" customHeight="1" x14ac:dyDescent="0.4">
      <c r="A27" s="198" t="s">
        <v>41</v>
      </c>
      <c r="B27" s="501" t="s">
        <v>133</v>
      </c>
      <c r="C27" s="501"/>
    </row>
    <row r="28" spans="1:14" ht="27" customHeight="1" x14ac:dyDescent="0.4">
      <c r="A28" s="198" t="s">
        <v>6</v>
      </c>
      <c r="B28" s="199">
        <v>99.28</v>
      </c>
    </row>
    <row r="29" spans="1:14" s="2" customFormat="1" ht="27" customHeight="1" x14ac:dyDescent="0.4">
      <c r="A29" s="198" t="s">
        <v>42</v>
      </c>
      <c r="B29" s="200">
        <v>0</v>
      </c>
      <c r="C29" s="471" t="s">
        <v>43</v>
      </c>
      <c r="D29" s="472"/>
      <c r="E29" s="472"/>
      <c r="F29" s="472"/>
      <c r="G29" s="473"/>
      <c r="I29" s="201"/>
      <c r="J29" s="201"/>
      <c r="K29" s="201"/>
      <c r="L29" s="201"/>
    </row>
    <row r="30" spans="1:14" s="2" customFormat="1" ht="19.5" customHeight="1" x14ac:dyDescent="0.3">
      <c r="A30" s="198" t="s">
        <v>44</v>
      </c>
      <c r="B30" s="202">
        <f>B28-B29</f>
        <v>99.28</v>
      </c>
      <c r="C30" s="203"/>
      <c r="D30" s="203"/>
      <c r="E30" s="203"/>
      <c r="F30" s="203"/>
      <c r="G30" s="204"/>
      <c r="I30" s="201"/>
      <c r="J30" s="201"/>
      <c r="K30" s="201"/>
      <c r="L30" s="201"/>
    </row>
    <row r="31" spans="1:14" s="2" customFormat="1" ht="27" customHeight="1" x14ac:dyDescent="0.4">
      <c r="A31" s="198" t="s">
        <v>45</v>
      </c>
      <c r="B31" s="205">
        <v>1</v>
      </c>
      <c r="C31" s="474" t="s">
        <v>46</v>
      </c>
      <c r="D31" s="475"/>
      <c r="E31" s="475"/>
      <c r="F31" s="475"/>
      <c r="G31" s="475"/>
      <c r="H31" s="476"/>
      <c r="I31" s="201"/>
      <c r="J31" s="201"/>
      <c r="K31" s="201"/>
      <c r="L31" s="201"/>
    </row>
    <row r="32" spans="1:14" s="2" customFormat="1" ht="27" customHeight="1" x14ac:dyDescent="0.4">
      <c r="A32" s="198" t="s">
        <v>47</v>
      </c>
      <c r="B32" s="205">
        <v>1</v>
      </c>
      <c r="C32" s="474" t="s">
        <v>48</v>
      </c>
      <c r="D32" s="475"/>
      <c r="E32" s="475"/>
      <c r="F32" s="475"/>
      <c r="G32" s="475"/>
      <c r="H32" s="476"/>
      <c r="I32" s="201"/>
      <c r="J32" s="201"/>
      <c r="K32" s="201"/>
      <c r="L32" s="206"/>
      <c r="M32" s="206"/>
      <c r="N32" s="207"/>
    </row>
    <row r="33" spans="1:14" s="2" customFormat="1" ht="17.25" customHeight="1" x14ac:dyDescent="0.3">
      <c r="A33" s="198"/>
      <c r="B33" s="208"/>
      <c r="C33" s="209"/>
      <c r="D33" s="209"/>
      <c r="E33" s="209"/>
      <c r="F33" s="209"/>
      <c r="G33" s="209"/>
      <c r="H33" s="209"/>
      <c r="I33" s="201"/>
      <c r="J33" s="201"/>
      <c r="K33" s="201"/>
      <c r="L33" s="206"/>
      <c r="M33" s="206"/>
      <c r="N33" s="207"/>
    </row>
    <row r="34" spans="1:14" s="2" customFormat="1" ht="18.75" x14ac:dyDescent="0.3">
      <c r="A34" s="198" t="s">
        <v>49</v>
      </c>
      <c r="B34" s="210">
        <f>B31/B32</f>
        <v>1</v>
      </c>
      <c r="C34" s="188" t="s">
        <v>50</v>
      </c>
      <c r="D34" s="188"/>
      <c r="E34" s="188"/>
      <c r="F34" s="188"/>
      <c r="G34" s="188"/>
      <c r="I34" s="201"/>
      <c r="J34" s="201"/>
      <c r="K34" s="201"/>
      <c r="L34" s="206"/>
      <c r="M34" s="206"/>
      <c r="N34" s="207"/>
    </row>
    <row r="35" spans="1:14" s="2" customFormat="1" ht="19.5" customHeight="1" x14ac:dyDescent="0.3">
      <c r="A35" s="198"/>
      <c r="B35" s="202"/>
      <c r="G35" s="188"/>
      <c r="I35" s="201"/>
      <c r="J35" s="201"/>
      <c r="K35" s="201"/>
      <c r="L35" s="206"/>
      <c r="M35" s="206"/>
      <c r="N35" s="207"/>
    </row>
    <row r="36" spans="1:14" s="2" customFormat="1" ht="27" customHeight="1" x14ac:dyDescent="0.4">
      <c r="A36" s="211" t="s">
        <v>51</v>
      </c>
      <c r="B36" s="212">
        <v>100</v>
      </c>
      <c r="C36" s="188"/>
      <c r="D36" s="477" t="s">
        <v>52</v>
      </c>
      <c r="E36" s="502"/>
      <c r="F36" s="477" t="s">
        <v>53</v>
      </c>
      <c r="G36" s="478"/>
      <c r="J36" s="201"/>
      <c r="K36" s="201"/>
      <c r="L36" s="206"/>
      <c r="M36" s="206"/>
      <c r="N36" s="207"/>
    </row>
    <row r="37" spans="1:14" s="2" customFormat="1" ht="27" customHeight="1" x14ac:dyDescent="0.4">
      <c r="A37" s="213" t="s">
        <v>54</v>
      </c>
      <c r="B37" s="214">
        <v>1</v>
      </c>
      <c r="C37" s="215" t="s">
        <v>55</v>
      </c>
      <c r="D37" s="216" t="s">
        <v>56</v>
      </c>
      <c r="E37" s="217" t="s">
        <v>57</v>
      </c>
      <c r="F37" s="216" t="s">
        <v>56</v>
      </c>
      <c r="G37" s="218" t="s">
        <v>57</v>
      </c>
      <c r="I37" s="219" t="s">
        <v>58</v>
      </c>
      <c r="J37" s="201"/>
      <c r="K37" s="201"/>
      <c r="L37" s="206"/>
      <c r="M37" s="206"/>
      <c r="N37" s="207"/>
    </row>
    <row r="38" spans="1:14" s="2" customFormat="1" ht="26.25" customHeight="1" x14ac:dyDescent="0.4">
      <c r="A38" s="213" t="s">
        <v>59</v>
      </c>
      <c r="B38" s="214">
        <v>1</v>
      </c>
      <c r="C38" s="220">
        <v>1</v>
      </c>
      <c r="D38" s="221">
        <v>110060312</v>
      </c>
      <c r="E38" s="222">
        <f>IF(ISBLANK(D38),"-",$D$48/$D$45*D38)</f>
        <v>100154482.80129638</v>
      </c>
      <c r="F38" s="221">
        <v>110621556</v>
      </c>
      <c r="G38" s="223">
        <f>IF(ISBLANK(F38),"-",$D$48/$F$45*F38)</f>
        <v>99652371.07959871</v>
      </c>
      <c r="I38" s="224"/>
      <c r="J38" s="201"/>
      <c r="K38" s="201"/>
      <c r="L38" s="206"/>
      <c r="M38" s="206"/>
      <c r="N38" s="207"/>
    </row>
    <row r="39" spans="1:14" s="2" customFormat="1" ht="26.25" customHeight="1" x14ac:dyDescent="0.4">
      <c r="A39" s="213" t="s">
        <v>60</v>
      </c>
      <c r="B39" s="214">
        <v>1</v>
      </c>
      <c r="C39" s="225">
        <v>2</v>
      </c>
      <c r="D39" s="226">
        <v>109633331</v>
      </c>
      <c r="E39" s="227">
        <f>IF(ISBLANK(D39),"-",$D$48/$D$45*D39)</f>
        <v>99765931.647443756</v>
      </c>
      <c r="F39" s="226">
        <v>110859638</v>
      </c>
      <c r="G39" s="228">
        <f>IF(ISBLANK(F39),"-",$D$48/$F$45*F39)</f>
        <v>99866844.973017573</v>
      </c>
      <c r="I39" s="479">
        <f>ABS((F43/D43*D42)-F42)/D42</f>
        <v>1.6576180457838626E-3</v>
      </c>
      <c r="J39" s="201"/>
      <c r="K39" s="201"/>
      <c r="L39" s="206"/>
      <c r="M39" s="206"/>
      <c r="N39" s="207"/>
    </row>
    <row r="40" spans="1:14" ht="26.25" customHeight="1" x14ac:dyDescent="0.4">
      <c r="A40" s="213" t="s">
        <v>61</v>
      </c>
      <c r="B40" s="214">
        <v>1</v>
      </c>
      <c r="C40" s="225">
        <v>3</v>
      </c>
      <c r="D40" s="226">
        <v>109673130</v>
      </c>
      <c r="E40" s="227">
        <f>IF(ISBLANK(D40),"-",$D$48/$D$45*D40)</f>
        <v>99802148.592394888</v>
      </c>
      <c r="F40" s="226">
        <v>110687216</v>
      </c>
      <c r="G40" s="228">
        <f>IF(ISBLANK(F40),"-",$D$48/$F$45*F40)</f>
        <v>99711520.262829199</v>
      </c>
      <c r="I40" s="479"/>
      <c r="L40" s="206"/>
      <c r="M40" s="206"/>
      <c r="N40" s="229"/>
    </row>
    <row r="41" spans="1:14" ht="27" customHeight="1" x14ac:dyDescent="0.4">
      <c r="A41" s="213" t="s">
        <v>62</v>
      </c>
      <c r="B41" s="214">
        <v>1</v>
      </c>
      <c r="C41" s="230">
        <v>4</v>
      </c>
      <c r="D41" s="231"/>
      <c r="E41" s="232" t="str">
        <f>IF(ISBLANK(D41),"-",$D$48/$D$45*D41)</f>
        <v>-</v>
      </c>
      <c r="F41" s="231"/>
      <c r="G41" s="233" t="str">
        <f>IF(ISBLANK(F41),"-",$D$48/$F$45*F41)</f>
        <v>-</v>
      </c>
      <c r="I41" s="234"/>
      <c r="L41" s="206"/>
      <c r="M41" s="206"/>
      <c r="N41" s="229"/>
    </row>
    <row r="42" spans="1:14" ht="27" customHeight="1" x14ac:dyDescent="0.4">
      <c r="A42" s="213" t="s">
        <v>63</v>
      </c>
      <c r="B42" s="214">
        <v>1</v>
      </c>
      <c r="C42" s="235" t="s">
        <v>64</v>
      </c>
      <c r="D42" s="236">
        <f>AVERAGE(D38:D41)</f>
        <v>109788924.33333333</v>
      </c>
      <c r="E42" s="237">
        <f>AVERAGE(E38:E41)</f>
        <v>99907521.013711676</v>
      </c>
      <c r="F42" s="236">
        <f>AVERAGE(F38:F41)</f>
        <v>110722803.33333333</v>
      </c>
      <c r="G42" s="238">
        <f>AVERAGE(G38:G41)</f>
        <v>99743578.771815166</v>
      </c>
      <c r="H42" s="239"/>
    </row>
    <row r="43" spans="1:14" ht="26.25" customHeight="1" x14ac:dyDescent="0.4">
      <c r="A43" s="213" t="s">
        <v>65</v>
      </c>
      <c r="B43" s="214">
        <v>1</v>
      </c>
      <c r="C43" s="240" t="s">
        <v>66</v>
      </c>
      <c r="D43" s="241">
        <v>17.71</v>
      </c>
      <c r="E43" s="229"/>
      <c r="F43" s="241">
        <v>17.89</v>
      </c>
      <c r="H43" s="239"/>
    </row>
    <row r="44" spans="1:14" ht="26.25" customHeight="1" x14ac:dyDescent="0.4">
      <c r="A44" s="213" t="s">
        <v>67</v>
      </c>
      <c r="B44" s="214">
        <v>1</v>
      </c>
      <c r="C44" s="242" t="s">
        <v>68</v>
      </c>
      <c r="D44" s="243">
        <f>D43*$B$34</f>
        <v>17.71</v>
      </c>
      <c r="E44" s="244"/>
      <c r="F44" s="243">
        <f>F43*$B$34</f>
        <v>17.89</v>
      </c>
      <c r="H44" s="239"/>
    </row>
    <row r="45" spans="1:14" ht="19.5" customHeight="1" x14ac:dyDescent="0.3">
      <c r="A45" s="213" t="s">
        <v>69</v>
      </c>
      <c r="B45" s="245">
        <f>(B44/B43)*(B42/B41)*(B40/B39)*(B38/B37)*B36</f>
        <v>100</v>
      </c>
      <c r="C45" s="242" t="s">
        <v>70</v>
      </c>
      <c r="D45" s="246">
        <f>D44*$B$30/100</f>
        <v>17.582488000000001</v>
      </c>
      <c r="E45" s="247"/>
      <c r="F45" s="246">
        <f>F44*$B$30/100</f>
        <v>17.761192000000001</v>
      </c>
      <c r="H45" s="239"/>
    </row>
    <row r="46" spans="1:14" ht="19.5" customHeight="1" x14ac:dyDescent="0.3">
      <c r="A46" s="465" t="s">
        <v>71</v>
      </c>
      <c r="B46" s="466"/>
      <c r="C46" s="242" t="s">
        <v>72</v>
      </c>
      <c r="D46" s="248">
        <f>D45/$B$45</f>
        <v>0.17582488000000002</v>
      </c>
      <c r="E46" s="249"/>
      <c r="F46" s="250">
        <f>F45/$B$45</f>
        <v>0.17761192000000001</v>
      </c>
      <c r="H46" s="239"/>
    </row>
    <row r="47" spans="1:14" ht="27" customHeight="1" x14ac:dyDescent="0.4">
      <c r="A47" s="467"/>
      <c r="B47" s="468"/>
      <c r="C47" s="251" t="s">
        <v>73</v>
      </c>
      <c r="D47" s="252">
        <v>0.16</v>
      </c>
      <c r="E47" s="253"/>
      <c r="F47" s="249"/>
      <c r="H47" s="239"/>
    </row>
    <row r="48" spans="1:14" ht="18.75" x14ac:dyDescent="0.3">
      <c r="C48" s="254" t="s">
        <v>74</v>
      </c>
      <c r="D48" s="246">
        <f>D47*$B$45</f>
        <v>16</v>
      </c>
      <c r="F48" s="255"/>
      <c r="H48" s="239"/>
    </row>
    <row r="49" spans="1:12" ht="19.5" customHeight="1" x14ac:dyDescent="0.3">
      <c r="C49" s="256" t="s">
        <v>75</v>
      </c>
      <c r="D49" s="257">
        <f>D48/B34</f>
        <v>16</v>
      </c>
      <c r="F49" s="255"/>
      <c r="H49" s="239"/>
    </row>
    <row r="50" spans="1:12" ht="18.75" x14ac:dyDescent="0.3">
      <c r="C50" s="211" t="s">
        <v>76</v>
      </c>
      <c r="D50" s="258">
        <f>AVERAGE(E38:E41,G38:G41)</f>
        <v>99825549.892763421</v>
      </c>
      <c r="F50" s="259"/>
      <c r="H50" s="239"/>
    </row>
    <row r="51" spans="1:12" ht="18.75" x14ac:dyDescent="0.3">
      <c r="C51" s="213" t="s">
        <v>77</v>
      </c>
      <c r="D51" s="260">
        <f>STDEV(E38:E41,G38:G41)/D50</f>
        <v>1.7750884938478634E-3</v>
      </c>
      <c r="F51" s="259"/>
      <c r="H51" s="239"/>
    </row>
    <row r="52" spans="1:12" ht="19.5" customHeight="1" x14ac:dyDescent="0.3">
      <c r="C52" s="261" t="s">
        <v>20</v>
      </c>
      <c r="D52" s="262">
        <f>COUNT(E38:E41,G38:G41)</f>
        <v>6</v>
      </c>
      <c r="F52" s="259"/>
    </row>
    <row r="54" spans="1:12" ht="18.75" x14ac:dyDescent="0.3">
      <c r="A54" s="263" t="s">
        <v>1</v>
      </c>
      <c r="B54" s="264" t="s">
        <v>78</v>
      </c>
    </row>
    <row r="55" spans="1:12" ht="18.75" x14ac:dyDescent="0.3">
      <c r="A55" s="188" t="s">
        <v>79</v>
      </c>
      <c r="B55" s="265" t="str">
        <f>B21</f>
        <v>Each tablet contain Sulphamethoxazole B.P 800 mg and Trimethoprim B.P 160 mg</v>
      </c>
    </row>
    <row r="56" spans="1:12" ht="26.25" customHeight="1" x14ac:dyDescent="0.4">
      <c r="A56" s="266" t="s">
        <v>80</v>
      </c>
      <c r="B56" s="267">
        <v>800</v>
      </c>
      <c r="C56" s="188" t="str">
        <f>B20</f>
        <v>Sulphamethoxazole</v>
      </c>
      <c r="H56" s="268"/>
    </row>
    <row r="57" spans="1:12" ht="18.75" x14ac:dyDescent="0.3">
      <c r="A57" s="265" t="s">
        <v>81</v>
      </c>
      <c r="B57" s="335">
        <f>Trimethoprim!B57</f>
        <v>1036.4719999999998</v>
      </c>
      <c r="H57" s="268"/>
    </row>
    <row r="58" spans="1:12" ht="19.5" customHeight="1" x14ac:dyDescent="0.3">
      <c r="H58" s="268"/>
    </row>
    <row r="59" spans="1:12" s="2" customFormat="1" ht="27" customHeight="1" x14ac:dyDescent="0.4">
      <c r="A59" s="211" t="s">
        <v>82</v>
      </c>
      <c r="B59" s="212">
        <v>200</v>
      </c>
      <c r="C59" s="188"/>
      <c r="D59" s="269" t="s">
        <v>83</v>
      </c>
      <c r="E59" s="270" t="s">
        <v>55</v>
      </c>
      <c r="F59" s="270" t="s">
        <v>56</v>
      </c>
      <c r="G59" s="270" t="s">
        <v>84</v>
      </c>
      <c r="H59" s="215" t="s">
        <v>85</v>
      </c>
      <c r="L59" s="201"/>
    </row>
    <row r="60" spans="1:12" s="2" customFormat="1" ht="26.25" customHeight="1" x14ac:dyDescent="0.4">
      <c r="A60" s="213" t="s">
        <v>86</v>
      </c>
      <c r="B60" s="214">
        <v>4</v>
      </c>
      <c r="C60" s="482" t="s">
        <v>87</v>
      </c>
      <c r="D60" s="485">
        <f>Trimethoprim!D60</f>
        <v>1042.1400000000001</v>
      </c>
      <c r="E60" s="271">
        <v>1</v>
      </c>
      <c r="F60" s="272">
        <v>95731802</v>
      </c>
      <c r="G60" s="336">
        <f>IF(ISBLANK(F60),"-",(F60/$D$50*$D$47*$B$68)*($B$57/$D$60))</f>
        <v>763.02016991645462</v>
      </c>
      <c r="H60" s="354">
        <f t="shared" ref="H60:H71" si="0">IF(ISBLANK(F60),"-",(G60/$B$56)*100)</f>
        <v>95.377521239556827</v>
      </c>
      <c r="L60" s="201"/>
    </row>
    <row r="61" spans="1:12" s="2" customFormat="1" ht="26.25" customHeight="1" x14ac:dyDescent="0.4">
      <c r="A61" s="213" t="s">
        <v>88</v>
      </c>
      <c r="B61" s="214">
        <v>100</v>
      </c>
      <c r="C61" s="483"/>
      <c r="D61" s="486"/>
      <c r="E61" s="273">
        <v>2</v>
      </c>
      <c r="F61" s="226">
        <v>96470784</v>
      </c>
      <c r="G61" s="337">
        <f>IF(ISBLANK(F61),"-",(F61/$D$50*$D$47*$B$68)*($B$57/$D$60))</f>
        <v>768.91014753544061</v>
      </c>
      <c r="H61" s="355">
        <f t="shared" si="0"/>
        <v>96.113768441930077</v>
      </c>
      <c r="L61" s="201"/>
    </row>
    <row r="62" spans="1:12" s="2" customFormat="1" ht="26.25" customHeight="1" x14ac:dyDescent="0.4">
      <c r="A62" s="213" t="s">
        <v>89</v>
      </c>
      <c r="B62" s="214">
        <v>1</v>
      </c>
      <c r="C62" s="483"/>
      <c r="D62" s="486"/>
      <c r="E62" s="273">
        <v>3</v>
      </c>
      <c r="F62" s="274">
        <v>97284364</v>
      </c>
      <c r="G62" s="337">
        <f>IF(ISBLANK(F62),"-",(F62/$D$50*$D$47*$B$68)*($B$57/$D$60))</f>
        <v>775.39470059797065</v>
      </c>
      <c r="H62" s="355">
        <f t="shared" si="0"/>
        <v>96.924337574746332</v>
      </c>
      <c r="L62" s="201"/>
    </row>
    <row r="63" spans="1:12" ht="27" customHeight="1" x14ac:dyDescent="0.4">
      <c r="A63" s="213" t="s">
        <v>90</v>
      </c>
      <c r="B63" s="214">
        <v>1</v>
      </c>
      <c r="C63" s="492"/>
      <c r="D63" s="487"/>
      <c r="E63" s="275">
        <v>4</v>
      </c>
      <c r="F63" s="276"/>
      <c r="G63" s="337" t="str">
        <f>IF(ISBLANK(F63),"-",(F63/$D$50*$D$47*$B$68)*($B$57/$D$60))</f>
        <v>-</v>
      </c>
      <c r="H63" s="355" t="str">
        <f t="shared" si="0"/>
        <v>-</v>
      </c>
    </row>
    <row r="64" spans="1:12" ht="26.25" customHeight="1" x14ac:dyDescent="0.4">
      <c r="A64" s="213" t="s">
        <v>91</v>
      </c>
      <c r="B64" s="214">
        <v>1</v>
      </c>
      <c r="C64" s="482" t="s">
        <v>92</v>
      </c>
      <c r="D64" s="485">
        <f>Trimethoprim!D64</f>
        <v>1039.67</v>
      </c>
      <c r="E64" s="271">
        <v>1</v>
      </c>
      <c r="F64" s="272">
        <v>98058698</v>
      </c>
      <c r="G64" s="336">
        <f>IF(ISBLANK(F64),"-",(F64/$D$50*$D$47*$B$68)*($B$57/$D$64))</f>
        <v>783.42325707476334</v>
      </c>
      <c r="H64" s="354">
        <f t="shared" si="0"/>
        <v>97.927907134345418</v>
      </c>
    </row>
    <row r="65" spans="1:8" ht="26.25" customHeight="1" x14ac:dyDescent="0.4">
      <c r="A65" s="213" t="s">
        <v>93</v>
      </c>
      <c r="B65" s="214">
        <v>1</v>
      </c>
      <c r="C65" s="483"/>
      <c r="D65" s="486"/>
      <c r="E65" s="273">
        <v>2</v>
      </c>
      <c r="F65" s="226">
        <v>98184058</v>
      </c>
      <c r="G65" s="337">
        <f>IF(ISBLANK(F65),"-",(F65/$D$50*$D$47*$B$68)*($B$57/$D$64))</f>
        <v>784.42479943163733</v>
      </c>
      <c r="H65" s="355">
        <f t="shared" si="0"/>
        <v>98.053099928954666</v>
      </c>
    </row>
    <row r="66" spans="1:8" ht="26.25" customHeight="1" x14ac:dyDescent="0.4">
      <c r="A66" s="213" t="s">
        <v>94</v>
      </c>
      <c r="B66" s="214">
        <v>1</v>
      </c>
      <c r="C66" s="483"/>
      <c r="D66" s="486"/>
      <c r="E66" s="273">
        <v>3</v>
      </c>
      <c r="F66" s="226">
        <v>98489338</v>
      </c>
      <c r="G66" s="337">
        <f>IF(ISBLANK(F66),"-",(F66/$D$50*$D$47*$B$68)*($B$57/$D$64))</f>
        <v>786.86378196758506</v>
      </c>
      <c r="H66" s="355">
        <f t="shared" si="0"/>
        <v>98.357972745948132</v>
      </c>
    </row>
    <row r="67" spans="1:8" ht="27" customHeight="1" x14ac:dyDescent="0.4">
      <c r="A67" s="213" t="s">
        <v>95</v>
      </c>
      <c r="B67" s="214">
        <v>1</v>
      </c>
      <c r="C67" s="492"/>
      <c r="D67" s="487"/>
      <c r="E67" s="275">
        <v>4</v>
      </c>
      <c r="F67" s="276"/>
      <c r="G67" s="353" t="str">
        <f>IF(ISBLANK(F67),"-",(F67/$D$50*$D$47*$B$68)*($B$57/$D$64))</f>
        <v>-</v>
      </c>
      <c r="H67" s="356" t="str">
        <f t="shared" si="0"/>
        <v>-</v>
      </c>
    </row>
    <row r="68" spans="1:8" ht="26.25" customHeight="1" x14ac:dyDescent="0.4">
      <c r="A68" s="213" t="s">
        <v>96</v>
      </c>
      <c r="B68" s="277">
        <f>(B67/B66)*(B65/B64)*(B63/B62)*(B61/B60)*B59</f>
        <v>5000</v>
      </c>
      <c r="C68" s="482" t="s">
        <v>97</v>
      </c>
      <c r="D68" s="485">
        <f>Trimethoprim!D68</f>
        <v>1036.05</v>
      </c>
      <c r="E68" s="271">
        <v>1</v>
      </c>
      <c r="F68" s="272">
        <v>97587827</v>
      </c>
      <c r="G68" s="336">
        <f>IF(ISBLANK(F68),"-",(F68/$D$50*$D$47*$B$68)*($B$57/$D$68))</f>
        <v>782.38548117221012</v>
      </c>
      <c r="H68" s="355">
        <f t="shared" si="0"/>
        <v>97.798185146526265</v>
      </c>
    </row>
    <row r="69" spans="1:8" ht="27" customHeight="1" x14ac:dyDescent="0.4">
      <c r="A69" s="261" t="s">
        <v>98</v>
      </c>
      <c r="B69" s="278">
        <f>(D47*B68)/B56*B57</f>
        <v>1036.4719999999998</v>
      </c>
      <c r="C69" s="483"/>
      <c r="D69" s="486"/>
      <c r="E69" s="273">
        <v>2</v>
      </c>
      <c r="F69" s="226">
        <v>97669834</v>
      </c>
      <c r="G69" s="337">
        <f>IF(ISBLANK(F69),"-",(F69/$D$50*$D$47*$B$68)*($B$57/$D$68))</f>
        <v>783.04295135191296</v>
      </c>
      <c r="H69" s="355">
        <f t="shared" si="0"/>
        <v>97.88036891898912</v>
      </c>
    </row>
    <row r="70" spans="1:8" ht="26.25" customHeight="1" x14ac:dyDescent="0.4">
      <c r="A70" s="488" t="s">
        <v>71</v>
      </c>
      <c r="B70" s="489"/>
      <c r="C70" s="483"/>
      <c r="D70" s="486"/>
      <c r="E70" s="273">
        <v>3</v>
      </c>
      <c r="F70" s="226">
        <v>97355210</v>
      </c>
      <c r="G70" s="337">
        <f>IF(ISBLANK(F70),"-",(F70/$D$50*$D$47*$B$68)*($B$57/$D$68))</f>
        <v>780.52053378001301</v>
      </c>
      <c r="H70" s="355">
        <f t="shared" si="0"/>
        <v>97.565066722501626</v>
      </c>
    </row>
    <row r="71" spans="1:8" ht="27" customHeight="1" x14ac:dyDescent="0.4">
      <c r="A71" s="490"/>
      <c r="B71" s="491"/>
      <c r="C71" s="484"/>
      <c r="D71" s="487"/>
      <c r="E71" s="275">
        <v>4</v>
      </c>
      <c r="F71" s="276"/>
      <c r="G71" s="353" t="str">
        <f>IF(ISBLANK(F71),"-",(F71/$D$50*$D$47*$B$68)*($B$57/$D$68))</f>
        <v>-</v>
      </c>
      <c r="H71" s="356" t="str">
        <f t="shared" si="0"/>
        <v>-</v>
      </c>
    </row>
    <row r="72" spans="1:8" ht="26.25" customHeight="1" x14ac:dyDescent="0.4">
      <c r="A72" s="279"/>
      <c r="B72" s="279"/>
      <c r="C72" s="279"/>
      <c r="D72" s="279"/>
      <c r="E72" s="279"/>
      <c r="F72" s="281" t="s">
        <v>64</v>
      </c>
      <c r="G72" s="342">
        <f>AVERAGE(G60:G71)</f>
        <v>778.66509142533198</v>
      </c>
      <c r="H72" s="357">
        <f>AVERAGE(H60:H71)</f>
        <v>97.333136428166497</v>
      </c>
    </row>
    <row r="73" spans="1:8" ht="26.25" customHeight="1" x14ac:dyDescent="0.4">
      <c r="C73" s="279"/>
      <c r="D73" s="279"/>
      <c r="E73" s="279"/>
      <c r="F73" s="282" t="s">
        <v>77</v>
      </c>
      <c r="G73" s="341">
        <f>STDEV(G60:G71)/G72</f>
        <v>1.0254917444881542E-2</v>
      </c>
      <c r="H73" s="341">
        <f>STDEV(H60:H71)/H72</f>
        <v>1.0254917444881542E-2</v>
      </c>
    </row>
    <row r="74" spans="1:8" ht="27" customHeight="1" x14ac:dyDescent="0.4">
      <c r="A74" s="279"/>
      <c r="B74" s="279"/>
      <c r="C74" s="280"/>
      <c r="D74" s="280"/>
      <c r="E74" s="283"/>
      <c r="F74" s="284" t="s">
        <v>20</v>
      </c>
      <c r="G74" s="285">
        <f>COUNT(G60:G71)</f>
        <v>9</v>
      </c>
      <c r="H74" s="285">
        <f>COUNT(H60:H71)</f>
        <v>9</v>
      </c>
    </row>
    <row r="76" spans="1:8" ht="26.25" customHeight="1" x14ac:dyDescent="0.4">
      <c r="A76" s="197" t="s">
        <v>99</v>
      </c>
      <c r="B76" s="286" t="s">
        <v>100</v>
      </c>
      <c r="C76" s="469" t="str">
        <f>B26</f>
        <v>Sulfamethoxazole</v>
      </c>
      <c r="D76" s="469"/>
      <c r="E76" s="287" t="s">
        <v>101</v>
      </c>
      <c r="F76" s="287"/>
      <c r="G76" s="288">
        <f>H72</f>
        <v>97.333136428166497</v>
      </c>
      <c r="H76" s="289"/>
    </row>
    <row r="77" spans="1:8" ht="18.75" x14ac:dyDescent="0.3">
      <c r="A77" s="196" t="s">
        <v>102</v>
      </c>
      <c r="B77" s="196" t="s">
        <v>103</v>
      </c>
    </row>
    <row r="78" spans="1:8" ht="18.75" x14ac:dyDescent="0.3">
      <c r="A78" s="196"/>
      <c r="B78" s="196"/>
    </row>
    <row r="79" spans="1:8" ht="26.25" customHeight="1" x14ac:dyDescent="0.4">
      <c r="A79" s="197" t="s">
        <v>4</v>
      </c>
      <c r="B79" s="503" t="str">
        <f>B26</f>
        <v>Sulfamethoxazole</v>
      </c>
      <c r="C79" s="503"/>
    </row>
    <row r="80" spans="1:8" ht="26.25" customHeight="1" x14ac:dyDescent="0.4">
      <c r="A80" s="198" t="s">
        <v>41</v>
      </c>
      <c r="B80" s="503" t="str">
        <f>B27</f>
        <v>NDQE201607046</v>
      </c>
      <c r="C80" s="503"/>
    </row>
    <row r="81" spans="1:12" ht="27" customHeight="1" x14ac:dyDescent="0.4">
      <c r="A81" s="198" t="s">
        <v>6</v>
      </c>
      <c r="B81" s="290">
        <f>B28</f>
        <v>99.28</v>
      </c>
    </row>
    <row r="82" spans="1:12" s="2" customFormat="1" ht="27" customHeight="1" x14ac:dyDescent="0.4">
      <c r="A82" s="198" t="s">
        <v>42</v>
      </c>
      <c r="B82" s="200">
        <v>0</v>
      </c>
      <c r="C82" s="471" t="s">
        <v>43</v>
      </c>
      <c r="D82" s="472"/>
      <c r="E82" s="472"/>
      <c r="F82" s="472"/>
      <c r="G82" s="473"/>
      <c r="I82" s="201"/>
      <c r="J82" s="201"/>
      <c r="K82" s="201"/>
      <c r="L82" s="201"/>
    </row>
    <row r="83" spans="1:12" s="2" customFormat="1" ht="19.5" customHeight="1" x14ac:dyDescent="0.3">
      <c r="A83" s="198" t="s">
        <v>44</v>
      </c>
      <c r="B83" s="202">
        <f>B81-B82</f>
        <v>99.28</v>
      </c>
      <c r="C83" s="203"/>
      <c r="D83" s="203"/>
      <c r="E83" s="203"/>
      <c r="F83" s="203"/>
      <c r="G83" s="204"/>
      <c r="I83" s="201"/>
      <c r="J83" s="201"/>
      <c r="K83" s="201"/>
      <c r="L83" s="201"/>
    </row>
    <row r="84" spans="1:12" s="2" customFormat="1" ht="27" customHeight="1" x14ac:dyDescent="0.4">
      <c r="A84" s="198" t="s">
        <v>45</v>
      </c>
      <c r="B84" s="205">
        <v>1</v>
      </c>
      <c r="C84" s="474" t="s">
        <v>104</v>
      </c>
      <c r="D84" s="475"/>
      <c r="E84" s="475"/>
      <c r="F84" s="475"/>
      <c r="G84" s="475"/>
      <c r="H84" s="476"/>
      <c r="I84" s="201"/>
      <c r="J84" s="201"/>
      <c r="K84" s="201"/>
      <c r="L84" s="201"/>
    </row>
    <row r="85" spans="1:12" s="2" customFormat="1" ht="27" customHeight="1" x14ac:dyDescent="0.4">
      <c r="A85" s="198" t="s">
        <v>47</v>
      </c>
      <c r="B85" s="205">
        <v>1</v>
      </c>
      <c r="C85" s="474" t="s">
        <v>105</v>
      </c>
      <c r="D85" s="475"/>
      <c r="E85" s="475"/>
      <c r="F85" s="475"/>
      <c r="G85" s="475"/>
      <c r="H85" s="476"/>
      <c r="I85" s="201"/>
      <c r="J85" s="201"/>
      <c r="K85" s="201"/>
      <c r="L85" s="201"/>
    </row>
    <row r="86" spans="1:12" s="2" customFormat="1" ht="18.75" x14ac:dyDescent="0.3">
      <c r="A86" s="198"/>
      <c r="B86" s="208"/>
      <c r="C86" s="209"/>
      <c r="D86" s="209"/>
      <c r="E86" s="209"/>
      <c r="F86" s="209"/>
      <c r="G86" s="209"/>
      <c r="H86" s="209"/>
      <c r="I86" s="201"/>
      <c r="J86" s="201"/>
      <c r="K86" s="201"/>
      <c r="L86" s="201"/>
    </row>
    <row r="87" spans="1:12" s="2" customFormat="1" ht="18.75" x14ac:dyDescent="0.3">
      <c r="A87" s="198" t="s">
        <v>49</v>
      </c>
      <c r="B87" s="210">
        <f>B84/B85</f>
        <v>1</v>
      </c>
      <c r="C87" s="188" t="s">
        <v>50</v>
      </c>
      <c r="D87" s="188"/>
      <c r="E87" s="188"/>
      <c r="F87" s="188"/>
      <c r="G87" s="188"/>
      <c r="I87" s="201"/>
      <c r="J87" s="201"/>
      <c r="K87" s="201"/>
      <c r="L87" s="201"/>
    </row>
    <row r="88" spans="1:12" ht="19.5" customHeight="1" x14ac:dyDescent="0.3">
      <c r="A88" s="196"/>
      <c r="B88" s="196"/>
    </row>
    <row r="89" spans="1:12" ht="27" customHeight="1" x14ac:dyDescent="0.4">
      <c r="A89" s="211" t="s">
        <v>51</v>
      </c>
      <c r="B89" s="212">
        <v>100</v>
      </c>
      <c r="D89" s="291" t="s">
        <v>52</v>
      </c>
      <c r="E89" s="292"/>
      <c r="F89" s="477" t="s">
        <v>53</v>
      </c>
      <c r="G89" s="478"/>
    </row>
    <row r="90" spans="1:12" ht="27" customHeight="1" x14ac:dyDescent="0.4">
      <c r="A90" s="213" t="s">
        <v>54</v>
      </c>
      <c r="B90" s="214">
        <v>1</v>
      </c>
      <c r="C90" s="293" t="s">
        <v>55</v>
      </c>
      <c r="D90" s="216" t="s">
        <v>56</v>
      </c>
      <c r="E90" s="217" t="s">
        <v>57</v>
      </c>
      <c r="F90" s="216" t="s">
        <v>56</v>
      </c>
      <c r="G90" s="294" t="s">
        <v>57</v>
      </c>
      <c r="I90" s="219" t="s">
        <v>58</v>
      </c>
    </row>
    <row r="91" spans="1:12" ht="26.25" customHeight="1" x14ac:dyDescent="0.4">
      <c r="A91" s="213" t="s">
        <v>59</v>
      </c>
      <c r="B91" s="214">
        <v>1</v>
      </c>
      <c r="C91" s="295">
        <v>1</v>
      </c>
      <c r="D91" s="221">
        <v>110060312</v>
      </c>
      <c r="E91" s="222">
        <f>IF(ISBLANK(D91),"-",$D$101/$D$98*D91)</f>
        <v>111282758.66810708</v>
      </c>
      <c r="F91" s="221">
        <v>110621556</v>
      </c>
      <c r="G91" s="223">
        <f>IF(ISBLANK(F91),"-",$D$101/$F$98*F91)</f>
        <v>110724856.75510967</v>
      </c>
      <c r="I91" s="224"/>
    </row>
    <row r="92" spans="1:12" ht="26.25" customHeight="1" x14ac:dyDescent="0.4">
      <c r="A92" s="213" t="s">
        <v>60</v>
      </c>
      <c r="B92" s="214">
        <v>1</v>
      </c>
      <c r="C92" s="280">
        <v>2</v>
      </c>
      <c r="D92" s="226">
        <v>109633331</v>
      </c>
      <c r="E92" s="227">
        <f>IF(ISBLANK(D92),"-",$D$101/$D$98*D92)</f>
        <v>110851035.16382638</v>
      </c>
      <c r="F92" s="226">
        <v>110859638</v>
      </c>
      <c r="G92" s="228">
        <f>IF(ISBLANK(F92),"-",$D$101/$F$98*F92)</f>
        <v>110963161.08113064</v>
      </c>
      <c r="I92" s="479">
        <f>ABS((F96/D96*D95)-F95)/D95</f>
        <v>1.6576180457838626E-3</v>
      </c>
    </row>
    <row r="93" spans="1:12" ht="26.25" customHeight="1" x14ac:dyDescent="0.4">
      <c r="A93" s="213" t="s">
        <v>61</v>
      </c>
      <c r="B93" s="214">
        <v>1</v>
      </c>
      <c r="C93" s="280">
        <v>3</v>
      </c>
      <c r="D93" s="226">
        <v>109673130</v>
      </c>
      <c r="E93" s="227">
        <f>IF(ISBLANK(D93),"-",$D$101/$D$98*D93)</f>
        <v>110891276.21377209</v>
      </c>
      <c r="F93" s="226">
        <v>110687216</v>
      </c>
      <c r="G93" s="228">
        <f>IF(ISBLANK(F93),"-",$D$101/$F$98*F93)</f>
        <v>110790578.06981023</v>
      </c>
      <c r="I93" s="479"/>
    </row>
    <row r="94" spans="1:12" ht="27" customHeight="1" x14ac:dyDescent="0.4">
      <c r="A94" s="213" t="s">
        <v>62</v>
      </c>
      <c r="B94" s="214">
        <v>1</v>
      </c>
      <c r="C94" s="296">
        <v>4</v>
      </c>
      <c r="D94" s="231"/>
      <c r="E94" s="232" t="str">
        <f>IF(ISBLANK(D94),"-",$D$101/$D$98*D94)</f>
        <v>-</v>
      </c>
      <c r="F94" s="231"/>
      <c r="G94" s="233" t="str">
        <f>IF(ISBLANK(F94),"-",$D$101/$F$98*F94)</f>
        <v>-</v>
      </c>
      <c r="I94" s="234"/>
    </row>
    <row r="95" spans="1:12" ht="27" customHeight="1" x14ac:dyDescent="0.4">
      <c r="A95" s="213" t="s">
        <v>63</v>
      </c>
      <c r="B95" s="214">
        <v>1</v>
      </c>
      <c r="C95" s="297" t="s">
        <v>64</v>
      </c>
      <c r="D95" s="298">
        <f>AVERAGE(D91:D94)</f>
        <v>109788924.33333333</v>
      </c>
      <c r="E95" s="237">
        <f>AVERAGE(E91:E94)</f>
        <v>111008356.68190186</v>
      </c>
      <c r="F95" s="299">
        <f>AVERAGE(F91:F94)</f>
        <v>110722803.33333333</v>
      </c>
      <c r="G95" s="300">
        <f>AVERAGE(G91:G94)</f>
        <v>110826198.63535017</v>
      </c>
    </row>
    <row r="96" spans="1:12" ht="26.25" customHeight="1" x14ac:dyDescent="0.4">
      <c r="A96" s="213" t="s">
        <v>65</v>
      </c>
      <c r="B96" s="199">
        <v>1</v>
      </c>
      <c r="C96" s="301" t="s">
        <v>106</v>
      </c>
      <c r="D96" s="302">
        <v>17.71</v>
      </c>
      <c r="E96" s="229"/>
      <c r="F96" s="241">
        <v>17.89</v>
      </c>
    </row>
    <row r="97" spans="1:10" ht="26.25" customHeight="1" x14ac:dyDescent="0.4">
      <c r="A97" s="213" t="s">
        <v>67</v>
      </c>
      <c r="B97" s="199">
        <v>1</v>
      </c>
      <c r="C97" s="303" t="s">
        <v>107</v>
      </c>
      <c r="D97" s="304">
        <f>D96*$B$87</f>
        <v>17.71</v>
      </c>
      <c r="E97" s="244"/>
      <c r="F97" s="243">
        <f>F96*$B$87</f>
        <v>17.89</v>
      </c>
    </row>
    <row r="98" spans="1:10" ht="19.5" customHeight="1" x14ac:dyDescent="0.3">
      <c r="A98" s="213" t="s">
        <v>69</v>
      </c>
      <c r="B98" s="305">
        <f>(B97/B96)*(B95/B94)*(B93/B92)*(B91/B90)*B89</f>
        <v>100</v>
      </c>
      <c r="C98" s="303" t="s">
        <v>108</v>
      </c>
      <c r="D98" s="306">
        <f>D97*$B$83/100</f>
        <v>17.582488000000001</v>
      </c>
      <c r="E98" s="247"/>
      <c r="F98" s="246">
        <f>F97*$B$83/100</f>
        <v>17.761192000000001</v>
      </c>
    </row>
    <row r="99" spans="1:10" ht="19.5" customHeight="1" x14ac:dyDescent="0.3">
      <c r="A99" s="465" t="s">
        <v>71</v>
      </c>
      <c r="B99" s="480"/>
      <c r="C99" s="303" t="s">
        <v>109</v>
      </c>
      <c r="D99" s="307">
        <f>D98/$B$98</f>
        <v>0.17582488000000002</v>
      </c>
      <c r="E99" s="247"/>
      <c r="F99" s="250">
        <f>F98/$B$98</f>
        <v>0.17761192000000001</v>
      </c>
      <c r="G99" s="308"/>
      <c r="H99" s="239"/>
    </row>
    <row r="100" spans="1:10" ht="19.5" customHeight="1" x14ac:dyDescent="0.3">
      <c r="A100" s="467"/>
      <c r="B100" s="481"/>
      <c r="C100" s="303" t="s">
        <v>73</v>
      </c>
      <c r="D100" s="309">
        <f>$B$56/$B$116</f>
        <v>0.17777777777777778</v>
      </c>
      <c r="F100" s="255"/>
      <c r="G100" s="310"/>
      <c r="H100" s="239"/>
    </row>
    <row r="101" spans="1:10" ht="18.75" x14ac:dyDescent="0.3">
      <c r="C101" s="303" t="s">
        <v>74</v>
      </c>
      <c r="D101" s="304">
        <f>D100*$B$98</f>
        <v>17.777777777777779</v>
      </c>
      <c r="F101" s="255"/>
      <c r="G101" s="308"/>
      <c r="H101" s="239"/>
    </row>
    <row r="102" spans="1:10" ht="19.5" customHeight="1" x14ac:dyDescent="0.3">
      <c r="C102" s="311" t="s">
        <v>75</v>
      </c>
      <c r="D102" s="312">
        <f>D101/B34</f>
        <v>17.777777777777779</v>
      </c>
      <c r="F102" s="259"/>
      <c r="G102" s="308"/>
      <c r="H102" s="239"/>
      <c r="J102" s="313"/>
    </row>
    <row r="103" spans="1:10" ht="18.75" x14ac:dyDescent="0.3">
      <c r="C103" s="314" t="s">
        <v>110</v>
      </c>
      <c r="D103" s="315">
        <f>AVERAGE(E91:E94,G91:G94)</f>
        <v>110917277.65862602</v>
      </c>
      <c r="F103" s="259"/>
      <c r="G103" s="316"/>
      <c r="H103" s="239"/>
      <c r="J103" s="317"/>
    </row>
    <row r="104" spans="1:10" ht="18.75" x14ac:dyDescent="0.3">
      <c r="C104" s="282" t="s">
        <v>77</v>
      </c>
      <c r="D104" s="318">
        <f>STDEV(E91:E94,G91:G94)/D103</f>
        <v>1.7750884938478404E-3</v>
      </c>
      <c r="F104" s="259"/>
      <c r="G104" s="308"/>
      <c r="H104" s="239"/>
      <c r="J104" s="317"/>
    </row>
    <row r="105" spans="1:10" ht="19.5" customHeight="1" x14ac:dyDescent="0.3">
      <c r="C105" s="284" t="s">
        <v>20</v>
      </c>
      <c r="D105" s="319">
        <f>COUNT(E91:E94,G91:G94)</f>
        <v>6</v>
      </c>
      <c r="F105" s="259"/>
      <c r="G105" s="308"/>
      <c r="H105" s="239"/>
      <c r="J105" s="317"/>
    </row>
    <row r="106" spans="1:10" ht="19.5" customHeight="1" x14ac:dyDescent="0.3">
      <c r="A106" s="263"/>
      <c r="B106" s="263"/>
      <c r="C106" s="263"/>
      <c r="D106" s="263"/>
      <c r="E106" s="263"/>
    </row>
    <row r="107" spans="1:10" ht="27" customHeight="1" x14ac:dyDescent="0.4">
      <c r="A107" s="211" t="s">
        <v>111</v>
      </c>
      <c r="B107" s="212">
        <v>900</v>
      </c>
      <c r="C107" s="358" t="s">
        <v>112</v>
      </c>
      <c r="D107" s="358" t="s">
        <v>56</v>
      </c>
      <c r="E107" s="358" t="s">
        <v>113</v>
      </c>
      <c r="F107" s="320" t="s">
        <v>114</v>
      </c>
    </row>
    <row r="108" spans="1:10" ht="26.25" customHeight="1" x14ac:dyDescent="0.4">
      <c r="A108" s="213" t="s">
        <v>115</v>
      </c>
      <c r="B108" s="214">
        <v>5</v>
      </c>
      <c r="C108" s="363">
        <v>1</v>
      </c>
      <c r="D108" s="364">
        <v>102343292</v>
      </c>
      <c r="E108" s="338">
        <f t="shared" ref="E108:E113" si="1">IF(ISBLANK(D108),"-",D108/$D$103*$D$100*$B$116)</f>
        <v>738.15942230378596</v>
      </c>
      <c r="F108" s="365">
        <f t="shared" ref="F108:F113" si="2">IF(ISBLANK(D108), "-", (E108/$B$56)*100)</f>
        <v>92.269927787973245</v>
      </c>
    </row>
    <row r="109" spans="1:10" ht="26.25" customHeight="1" x14ac:dyDescent="0.4">
      <c r="A109" s="213" t="s">
        <v>88</v>
      </c>
      <c r="B109" s="214">
        <v>25</v>
      </c>
      <c r="C109" s="359">
        <v>2</v>
      </c>
      <c r="D109" s="361">
        <v>102167863</v>
      </c>
      <c r="E109" s="339">
        <f t="shared" si="1"/>
        <v>736.89412619336451</v>
      </c>
      <c r="F109" s="366">
        <f t="shared" si="2"/>
        <v>92.111765774170564</v>
      </c>
    </row>
    <row r="110" spans="1:10" ht="26.25" customHeight="1" x14ac:dyDescent="0.4">
      <c r="A110" s="213" t="s">
        <v>89</v>
      </c>
      <c r="B110" s="214">
        <v>1</v>
      </c>
      <c r="C110" s="359">
        <v>3</v>
      </c>
      <c r="D110" s="361">
        <v>102145431</v>
      </c>
      <c r="E110" s="339">
        <f t="shared" si="1"/>
        <v>736.73233354591741</v>
      </c>
      <c r="F110" s="366">
        <f t="shared" si="2"/>
        <v>92.091541693239677</v>
      </c>
    </row>
    <row r="111" spans="1:10" ht="26.25" customHeight="1" x14ac:dyDescent="0.4">
      <c r="A111" s="213" t="s">
        <v>90</v>
      </c>
      <c r="B111" s="214">
        <v>1</v>
      </c>
      <c r="C111" s="359">
        <v>4</v>
      </c>
      <c r="D111" s="361">
        <v>102362815</v>
      </c>
      <c r="E111" s="339">
        <f t="shared" si="1"/>
        <v>738.30023354915443</v>
      </c>
      <c r="F111" s="366">
        <f t="shared" si="2"/>
        <v>92.287529193644303</v>
      </c>
    </row>
    <row r="112" spans="1:10" ht="26.25" customHeight="1" x14ac:dyDescent="0.4">
      <c r="A112" s="213" t="s">
        <v>91</v>
      </c>
      <c r="B112" s="214">
        <v>1</v>
      </c>
      <c r="C112" s="359">
        <v>5</v>
      </c>
      <c r="D112" s="361">
        <v>102313760</v>
      </c>
      <c r="E112" s="339">
        <f t="shared" si="1"/>
        <v>737.94642032159959</v>
      </c>
      <c r="F112" s="366">
        <f t="shared" si="2"/>
        <v>92.243302540199949</v>
      </c>
    </row>
    <row r="113" spans="1:10" ht="27" customHeight="1" x14ac:dyDescent="0.4">
      <c r="A113" s="213" t="s">
        <v>93</v>
      </c>
      <c r="B113" s="214">
        <v>1</v>
      </c>
      <c r="C113" s="360">
        <v>6</v>
      </c>
      <c r="D113" s="362">
        <v>102421098</v>
      </c>
      <c r="E113" s="340">
        <f t="shared" si="1"/>
        <v>738.72060448670584</v>
      </c>
      <c r="F113" s="367">
        <f t="shared" si="2"/>
        <v>92.34007556083823</v>
      </c>
    </row>
    <row r="114" spans="1:10" ht="27" customHeight="1" x14ac:dyDescent="0.4">
      <c r="A114" s="213" t="s">
        <v>94</v>
      </c>
      <c r="B114" s="214">
        <v>1</v>
      </c>
      <c r="C114" s="321"/>
      <c r="D114" s="280"/>
      <c r="E114" s="187"/>
      <c r="F114" s="368"/>
    </row>
    <row r="115" spans="1:10" ht="26.25" customHeight="1" x14ac:dyDescent="0.4">
      <c r="A115" s="213" t="s">
        <v>95</v>
      </c>
      <c r="B115" s="214">
        <v>1</v>
      </c>
      <c r="C115" s="321"/>
      <c r="D115" s="345" t="s">
        <v>64</v>
      </c>
      <c r="E115" s="347">
        <f>AVERAGE(E108:E113)</f>
        <v>737.79219006675464</v>
      </c>
      <c r="F115" s="369">
        <f>AVERAGE(F108:F113)</f>
        <v>92.22402375834433</v>
      </c>
    </row>
    <row r="116" spans="1:10" ht="27" customHeight="1" x14ac:dyDescent="0.4">
      <c r="A116" s="213" t="s">
        <v>96</v>
      </c>
      <c r="B116" s="245">
        <f>(B115/B114)*(B113/B112)*(B111/B110)*(B109/B108)*B107</f>
        <v>4500</v>
      </c>
      <c r="C116" s="322"/>
      <c r="D116" s="346" t="s">
        <v>77</v>
      </c>
      <c r="E116" s="344">
        <f>STDEV(E108:E113)/E115</f>
        <v>1.0857591384364508E-3</v>
      </c>
      <c r="F116" s="323">
        <f>STDEV(F108:F113)/F115</f>
        <v>1.0857591384364508E-3</v>
      </c>
      <c r="I116" s="187"/>
    </row>
    <row r="117" spans="1:10" ht="27" customHeight="1" x14ac:dyDescent="0.4">
      <c r="A117" s="465" t="s">
        <v>71</v>
      </c>
      <c r="B117" s="466"/>
      <c r="C117" s="324"/>
      <c r="D117" s="284" t="s">
        <v>20</v>
      </c>
      <c r="E117" s="349">
        <f>COUNT(E108:E113)</f>
        <v>6</v>
      </c>
      <c r="F117" s="350">
        <f>COUNT(F108:F113)</f>
        <v>6</v>
      </c>
      <c r="I117" s="187"/>
      <c r="J117" s="317"/>
    </row>
    <row r="118" spans="1:10" ht="26.25" customHeight="1" x14ac:dyDescent="0.3">
      <c r="A118" s="467"/>
      <c r="B118" s="468"/>
      <c r="C118" s="187"/>
      <c r="D118" s="348"/>
      <c r="E118" s="493" t="s">
        <v>116</v>
      </c>
      <c r="F118" s="494"/>
      <c r="G118" s="187"/>
      <c r="H118" s="187"/>
      <c r="I118" s="187"/>
    </row>
    <row r="119" spans="1:10" ht="25.5" customHeight="1" x14ac:dyDescent="0.4">
      <c r="A119" s="333"/>
      <c r="B119" s="209"/>
      <c r="C119" s="187"/>
      <c r="D119" s="346" t="s">
        <v>117</v>
      </c>
      <c r="E119" s="351">
        <f>MIN(E108:E113)</f>
        <v>736.73233354591741</v>
      </c>
      <c r="F119" s="370">
        <f>MIN(F108:F113)</f>
        <v>92.091541693239677</v>
      </c>
      <c r="G119" s="187"/>
      <c r="H119" s="187"/>
      <c r="I119" s="187"/>
    </row>
    <row r="120" spans="1:10" ht="24" customHeight="1" x14ac:dyDescent="0.4">
      <c r="A120" s="333"/>
      <c r="B120" s="209"/>
      <c r="C120" s="187"/>
      <c r="D120" s="256" t="s">
        <v>118</v>
      </c>
      <c r="E120" s="352">
        <f>MAX(E108:E113)</f>
        <v>738.72060448670584</v>
      </c>
      <c r="F120" s="371">
        <f>MAX(F108:F113)</f>
        <v>92.34007556083823</v>
      </c>
      <c r="G120" s="187"/>
      <c r="H120" s="187"/>
      <c r="I120" s="187"/>
    </row>
    <row r="121" spans="1:10" ht="27" customHeight="1" x14ac:dyDescent="0.3">
      <c r="A121" s="333"/>
      <c r="B121" s="209"/>
      <c r="C121" s="187"/>
      <c r="D121" s="187"/>
      <c r="E121" s="187"/>
      <c r="F121" s="280"/>
      <c r="G121" s="187"/>
      <c r="H121" s="187"/>
      <c r="I121" s="187"/>
    </row>
    <row r="122" spans="1:10" ht="25.5" customHeight="1" x14ac:dyDescent="0.3">
      <c r="A122" s="333"/>
      <c r="B122" s="209"/>
      <c r="C122" s="187"/>
      <c r="D122" s="187"/>
      <c r="E122" s="187"/>
      <c r="F122" s="280"/>
      <c r="G122" s="187"/>
      <c r="H122" s="187"/>
      <c r="I122" s="187"/>
    </row>
    <row r="123" spans="1:10" ht="18.75" x14ac:dyDescent="0.3">
      <c r="A123" s="333"/>
      <c r="B123" s="209"/>
      <c r="C123" s="187"/>
      <c r="D123" s="187"/>
      <c r="E123" s="187"/>
      <c r="F123" s="280"/>
      <c r="G123" s="187"/>
      <c r="H123" s="187"/>
      <c r="I123" s="187"/>
    </row>
    <row r="124" spans="1:10" ht="45.75" customHeight="1" x14ac:dyDescent="0.65">
      <c r="A124" s="197" t="s">
        <v>99</v>
      </c>
      <c r="B124" s="286" t="s">
        <v>119</v>
      </c>
      <c r="C124" s="469" t="str">
        <f>B26</f>
        <v>Sulfamethoxazole</v>
      </c>
      <c r="D124" s="469"/>
      <c r="E124" s="287" t="s">
        <v>120</v>
      </c>
      <c r="F124" s="287"/>
      <c r="G124" s="372">
        <f>F115</f>
        <v>92.22402375834433</v>
      </c>
      <c r="H124" s="187"/>
      <c r="I124" s="187"/>
    </row>
    <row r="125" spans="1:10" ht="45.75" customHeight="1" x14ac:dyDescent="0.65">
      <c r="A125" s="197"/>
      <c r="B125" s="286" t="s">
        <v>121</v>
      </c>
      <c r="C125" s="198" t="s">
        <v>122</v>
      </c>
      <c r="D125" s="372">
        <f>MIN(F108:F113)</f>
        <v>92.091541693239677</v>
      </c>
      <c r="E125" s="297" t="s">
        <v>123</v>
      </c>
      <c r="F125" s="372">
        <f>MAX(F108:F113)</f>
        <v>92.34007556083823</v>
      </c>
      <c r="G125" s="288"/>
      <c r="H125" s="187"/>
      <c r="I125" s="187"/>
    </row>
    <row r="126" spans="1:10" ht="19.5" customHeight="1" x14ac:dyDescent="0.3">
      <c r="A126" s="325"/>
      <c r="B126" s="325"/>
      <c r="C126" s="326"/>
      <c r="D126" s="326"/>
      <c r="E126" s="326"/>
      <c r="F126" s="326"/>
      <c r="G126" s="326"/>
      <c r="H126" s="326"/>
    </row>
    <row r="127" spans="1:10" ht="18.75" x14ac:dyDescent="0.3">
      <c r="B127" s="470" t="s">
        <v>26</v>
      </c>
      <c r="C127" s="470"/>
      <c r="E127" s="293" t="s">
        <v>27</v>
      </c>
      <c r="F127" s="327"/>
      <c r="G127" s="470" t="s">
        <v>28</v>
      </c>
      <c r="H127" s="470"/>
    </row>
    <row r="128" spans="1:10" ht="69.95" customHeight="1" x14ac:dyDescent="0.3">
      <c r="A128" s="328" t="s">
        <v>29</v>
      </c>
      <c r="B128" s="329"/>
      <c r="C128" s="329"/>
      <c r="E128" s="329"/>
      <c r="F128" s="187"/>
      <c r="G128" s="330"/>
      <c r="H128" s="330"/>
    </row>
    <row r="129" spans="1:9" ht="69.95" customHeight="1" x14ac:dyDescent="0.3">
      <c r="A129" s="328" t="s">
        <v>30</v>
      </c>
      <c r="B129" s="331"/>
      <c r="C129" s="331"/>
      <c r="E129" s="331"/>
      <c r="F129" s="187"/>
      <c r="G129" s="332"/>
      <c r="H129" s="332"/>
    </row>
    <row r="130" spans="1:9" ht="18.75" x14ac:dyDescent="0.3">
      <c r="A130" s="279"/>
      <c r="B130" s="279"/>
      <c r="C130" s="280"/>
      <c r="D130" s="280"/>
      <c r="E130" s="280"/>
      <c r="F130" s="283"/>
      <c r="G130" s="280"/>
      <c r="H130" s="280"/>
      <c r="I130" s="187"/>
    </row>
    <row r="131" spans="1:9" ht="18.75" x14ac:dyDescent="0.3">
      <c r="A131" s="279"/>
      <c r="B131" s="279"/>
      <c r="C131" s="280"/>
      <c r="D131" s="280"/>
      <c r="E131" s="280"/>
      <c r="F131" s="283"/>
      <c r="G131" s="280"/>
      <c r="H131" s="280"/>
      <c r="I131" s="187"/>
    </row>
    <row r="132" spans="1:9" ht="18.75" x14ac:dyDescent="0.3">
      <c r="A132" s="279"/>
      <c r="B132" s="279"/>
      <c r="C132" s="280"/>
      <c r="D132" s="280"/>
      <c r="E132" s="280"/>
      <c r="F132" s="283"/>
      <c r="G132" s="280"/>
      <c r="H132" s="280"/>
      <c r="I132" s="187"/>
    </row>
    <row r="133" spans="1:9" ht="18.75" x14ac:dyDescent="0.3">
      <c r="A133" s="279"/>
      <c r="B133" s="279"/>
      <c r="C133" s="280"/>
      <c r="D133" s="280"/>
      <c r="E133" s="280"/>
      <c r="F133" s="283"/>
      <c r="G133" s="280"/>
      <c r="H133" s="280"/>
      <c r="I133" s="187"/>
    </row>
    <row r="134" spans="1:9" ht="18.75" x14ac:dyDescent="0.3">
      <c r="A134" s="279"/>
      <c r="B134" s="279"/>
      <c r="C134" s="280"/>
      <c r="D134" s="280"/>
      <c r="E134" s="280"/>
      <c r="F134" s="283"/>
      <c r="G134" s="280"/>
      <c r="H134" s="280"/>
      <c r="I134" s="187"/>
    </row>
    <row r="135" spans="1:9" ht="18.75" x14ac:dyDescent="0.3">
      <c r="A135" s="279"/>
      <c r="B135" s="279"/>
      <c r="C135" s="280"/>
      <c r="D135" s="280"/>
      <c r="E135" s="280"/>
      <c r="F135" s="283"/>
      <c r="G135" s="280"/>
      <c r="H135" s="280"/>
      <c r="I135" s="187"/>
    </row>
    <row r="136" spans="1:9" ht="18.75" x14ac:dyDescent="0.3">
      <c r="A136" s="279"/>
      <c r="B136" s="279"/>
      <c r="C136" s="280"/>
      <c r="D136" s="280"/>
      <c r="E136" s="280"/>
      <c r="F136" s="283"/>
      <c r="G136" s="280"/>
      <c r="H136" s="280"/>
      <c r="I136" s="187"/>
    </row>
    <row r="137" spans="1:9" ht="18.75" x14ac:dyDescent="0.3">
      <c r="A137" s="279"/>
      <c r="B137" s="279"/>
      <c r="C137" s="280"/>
      <c r="D137" s="280"/>
      <c r="E137" s="280"/>
      <c r="F137" s="283"/>
      <c r="G137" s="280"/>
      <c r="H137" s="280"/>
      <c r="I137" s="187"/>
    </row>
    <row r="138" spans="1:9" ht="18.75" x14ac:dyDescent="0.3">
      <c r="A138" s="279"/>
      <c r="B138" s="279"/>
      <c r="C138" s="280"/>
      <c r="D138" s="280"/>
      <c r="E138" s="280"/>
      <c r="F138" s="283"/>
      <c r="G138" s="280"/>
      <c r="H138" s="280"/>
      <c r="I138" s="187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Uniformity</vt:lpstr>
      <vt:lpstr>SST S</vt:lpstr>
      <vt:lpstr>SST T</vt:lpstr>
      <vt:lpstr>Trimethoprim</vt:lpstr>
      <vt:lpstr>Sulphamethoxazole</vt:lpstr>
      <vt:lpstr>Sulphamethoxazole!Print_Area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2016-12-14T04:25:03Z</cp:lastPrinted>
  <dcterms:created xsi:type="dcterms:W3CDTF">2005-07-05T10:19:27Z</dcterms:created>
  <dcterms:modified xsi:type="dcterms:W3CDTF">2017-03-20T10:03:04Z</dcterms:modified>
</cp:coreProperties>
</file>