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 activeTab="2"/>
  </bookViews>
  <sheets>
    <sheet name="Uniformity" sheetId="2" r:id="rId1"/>
    <sheet name="LOPINAVIR" sheetId="3" r:id="rId2"/>
    <sheet name="RITONAVIR" sheetId="4" r:id="rId3"/>
  </sheets>
  <definedNames>
    <definedName name="_xlnm.Print_Area" localSheetId="1">LOPINAVIR!$A$1:$I$130</definedName>
    <definedName name="_xlnm.Print_Area" localSheetId="2">RITONAVIR!$A$1:$I$130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F96" i="3" l="1"/>
  <c r="D96" i="3"/>
  <c r="F96" i="4"/>
  <c r="D96" i="4"/>
  <c r="D68" i="4"/>
  <c r="D64" i="4"/>
  <c r="D60" i="4"/>
  <c r="C124" i="4"/>
  <c r="B116" i="4"/>
  <c r="D100" i="4" s="1"/>
  <c r="B98" i="4"/>
  <c r="F95" i="4"/>
  <c r="D95" i="4"/>
  <c r="B87" i="4"/>
  <c r="D97" i="4" s="1"/>
  <c r="D98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9" i="2"/>
  <c r="C46" i="2"/>
  <c r="B49" i="2" s="1"/>
  <c r="C45" i="2"/>
  <c r="D39" i="2"/>
  <c r="D37" i="2"/>
  <c r="D31" i="2"/>
  <c r="D29" i="2"/>
  <c r="C19" i="2"/>
  <c r="I92" i="3" l="1"/>
  <c r="D101" i="4"/>
  <c r="D102" i="4" s="1"/>
  <c r="D99" i="4"/>
  <c r="I92" i="4"/>
  <c r="F97" i="4"/>
  <c r="F98" i="4" s="1"/>
  <c r="F99" i="4" s="1"/>
  <c r="I39" i="4"/>
  <c r="I39" i="3"/>
  <c r="D101" i="3"/>
  <c r="D102" i="3" s="1"/>
  <c r="F44" i="4"/>
  <c r="F45" i="4" s="1"/>
  <c r="D45" i="4"/>
  <c r="E38" i="4" s="1"/>
  <c r="D49" i="3"/>
  <c r="D44" i="3"/>
  <c r="D45" i="3" s="1"/>
  <c r="F45" i="3"/>
  <c r="G41" i="3" s="1"/>
  <c r="B69" i="3"/>
  <c r="F98" i="3"/>
  <c r="F99" i="3" s="1"/>
  <c r="E94" i="4"/>
  <c r="D24" i="2"/>
  <c r="D49" i="2"/>
  <c r="B57" i="3"/>
  <c r="D25" i="2"/>
  <c r="D33" i="2"/>
  <c r="D41" i="2"/>
  <c r="C50" i="2"/>
  <c r="D40" i="2"/>
  <c r="D34" i="2"/>
  <c r="D50" i="2"/>
  <c r="D27" i="2"/>
  <c r="D43" i="2"/>
  <c r="D32" i="2"/>
  <c r="D26" i="2"/>
  <c r="D42" i="2"/>
  <c r="B57" i="4"/>
  <c r="B69" i="4" s="1"/>
  <c r="D35" i="2"/>
  <c r="D28" i="2"/>
  <c r="D36" i="2"/>
  <c r="D49" i="4"/>
  <c r="D97" i="3"/>
  <c r="D98" i="3" s="1"/>
  <c r="D99" i="3" s="1"/>
  <c r="D30" i="2"/>
  <c r="D38" i="2"/>
  <c r="E92" i="3" l="1"/>
  <c r="E93" i="4"/>
  <c r="E91" i="4"/>
  <c r="E92" i="4"/>
  <c r="G92" i="4"/>
  <c r="G93" i="4"/>
  <c r="G91" i="4"/>
  <c r="G94" i="4"/>
  <c r="E94" i="3"/>
  <c r="G94" i="3"/>
  <c r="D46" i="4"/>
  <c r="G40" i="4"/>
  <c r="G41" i="4"/>
  <c r="G39" i="4"/>
  <c r="G38" i="4"/>
  <c r="F46" i="4"/>
  <c r="E39" i="4"/>
  <c r="E40" i="4"/>
  <c r="E41" i="4"/>
  <c r="D46" i="3"/>
  <c r="E41" i="3"/>
  <c r="E40" i="3"/>
  <c r="E38" i="3"/>
  <c r="E39" i="3"/>
  <c r="G92" i="3"/>
  <c r="G38" i="3"/>
  <c r="G39" i="3"/>
  <c r="F46" i="3"/>
  <c r="G40" i="3"/>
  <c r="G91" i="3"/>
  <c r="E93" i="3"/>
  <c r="E91" i="3"/>
  <c r="G93" i="3"/>
  <c r="E95" i="4" l="1"/>
  <c r="D105" i="4"/>
  <c r="D103" i="4"/>
  <c r="D104" i="4" s="1"/>
  <c r="G95" i="4"/>
  <c r="G42" i="4"/>
  <c r="D52" i="4"/>
  <c r="D50" i="4"/>
  <c r="D51" i="4" s="1"/>
  <c r="E42" i="4"/>
  <c r="E42" i="3"/>
  <c r="D52" i="3"/>
  <c r="G95" i="3"/>
  <c r="G42" i="3"/>
  <c r="D50" i="3"/>
  <c r="G71" i="4"/>
  <c r="H71" i="4" s="1"/>
  <c r="E95" i="3"/>
  <c r="D105" i="3"/>
  <c r="D103" i="3"/>
  <c r="E110" i="4" l="1"/>
  <c r="F110" i="4" s="1"/>
  <c r="E111" i="4"/>
  <c r="F111" i="4" s="1"/>
  <c r="E108" i="4"/>
  <c r="F108" i="4" s="1"/>
  <c r="E112" i="4"/>
  <c r="F112" i="4" s="1"/>
  <c r="E109" i="4"/>
  <c r="F109" i="4" s="1"/>
  <c r="E113" i="4"/>
  <c r="F113" i="4" s="1"/>
  <c r="G70" i="4"/>
  <c r="H70" i="4" s="1"/>
  <c r="G62" i="4"/>
  <c r="H62" i="4" s="1"/>
  <c r="G68" i="4"/>
  <c r="H68" i="4" s="1"/>
  <c r="G61" i="4"/>
  <c r="H61" i="4" s="1"/>
  <c r="G66" i="4"/>
  <c r="H66" i="4" s="1"/>
  <c r="G63" i="4"/>
  <c r="H63" i="4" s="1"/>
  <c r="G67" i="4"/>
  <c r="H67" i="4" s="1"/>
  <c r="G65" i="4"/>
  <c r="H65" i="4" s="1"/>
  <c r="G60" i="4"/>
  <c r="G64" i="4"/>
  <c r="H64" i="4" s="1"/>
  <c r="G69" i="4"/>
  <c r="H69" i="4" s="1"/>
  <c r="D51" i="3"/>
  <c r="G65" i="3"/>
  <c r="H65" i="3" s="1"/>
  <c r="G70" i="3"/>
  <c r="H70" i="3" s="1"/>
  <c r="G68" i="3"/>
  <c r="H68" i="3" s="1"/>
  <c r="G63" i="3"/>
  <c r="H63" i="3" s="1"/>
  <c r="G61" i="3"/>
  <c r="H61" i="3" s="1"/>
  <c r="G67" i="3"/>
  <c r="H67" i="3" s="1"/>
  <c r="G66" i="3"/>
  <c r="H66" i="3" s="1"/>
  <c r="G71" i="3"/>
  <c r="H71" i="3" s="1"/>
  <c r="G62" i="3"/>
  <c r="H62" i="3" s="1"/>
  <c r="G64" i="3"/>
  <c r="H64" i="3" s="1"/>
  <c r="G60" i="3"/>
  <c r="G69" i="3"/>
  <c r="H69" i="3" s="1"/>
  <c r="E110" i="3"/>
  <c r="F110" i="3" s="1"/>
  <c r="E113" i="3"/>
  <c r="F113" i="3" s="1"/>
  <c r="E109" i="3"/>
  <c r="F109" i="3" s="1"/>
  <c r="E108" i="3"/>
  <c r="D104" i="3"/>
  <c r="E112" i="3"/>
  <c r="F112" i="3" s="1"/>
  <c r="E111" i="3"/>
  <c r="F111" i="3" s="1"/>
  <c r="E117" i="4" l="1"/>
  <c r="E115" i="4"/>
  <c r="E116" i="4" s="1"/>
  <c r="E120" i="4"/>
  <c r="E119" i="4"/>
  <c r="G72" i="4"/>
  <c r="G73" i="4" s="1"/>
  <c r="G74" i="4"/>
  <c r="H60" i="4"/>
  <c r="H72" i="4" s="1"/>
  <c r="G72" i="3"/>
  <c r="G73" i="3" s="1"/>
  <c r="H60" i="3"/>
  <c r="G74" i="3"/>
  <c r="E115" i="3"/>
  <c r="E116" i="3" s="1"/>
  <c r="E119" i="3"/>
  <c r="E120" i="3"/>
  <c r="E117" i="3"/>
  <c r="F108" i="3"/>
  <c r="F125" i="4"/>
  <c r="F117" i="4"/>
  <c r="D125" i="4"/>
  <c r="F120" i="4"/>
  <c r="F115" i="4"/>
  <c r="F119" i="4"/>
  <c r="H74" i="4" l="1"/>
  <c r="H72" i="3"/>
  <c r="H74" i="3"/>
  <c r="G76" i="4"/>
  <c r="H73" i="4"/>
  <c r="F119" i="3"/>
  <c r="F125" i="3"/>
  <c r="F117" i="3"/>
  <c r="D125" i="3"/>
  <c r="F120" i="3"/>
  <c r="F115" i="3"/>
  <c r="G124" i="4"/>
  <c r="F116" i="4"/>
  <c r="G76" i="3" l="1"/>
  <c r="H73" i="3"/>
  <c r="F116" i="3"/>
  <c r="G124" i="3"/>
</calcChain>
</file>

<file path=xl/sharedStrings.xml><?xml version="1.0" encoding="utf-8"?>
<sst xmlns="http://schemas.openxmlformats.org/spreadsheetml/2006/main" count="358" uniqueCount="120">
  <si>
    <t>Analysis Data</t>
  </si>
  <si>
    <t>Reference Substance:</t>
  </si>
  <si>
    <t>LOPINAVIR/ RITONAVIR TABLETS</t>
  </si>
  <si>
    <t>% age Purity:</t>
  </si>
  <si>
    <t>NDQB201611218</t>
  </si>
  <si>
    <t>Lopinavir 200mg &amp; Ritonavir 50mg</t>
  </si>
  <si>
    <t>Each film-coated tablet contains Lopinavir 200 mg, Ritonavir 50 mg</t>
  </si>
  <si>
    <t>2016-11-09 10:53:12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</si>
  <si>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</si>
  <si>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</si>
  <si>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</si>
  <si>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</si>
  <si>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</si>
  <si>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</si>
  <si>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</si>
  <si>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</si>
  <si>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</si>
  <si>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</si>
  <si>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</si>
  <si>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</si>
  <si>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</si>
  <si>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</si>
  <si>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</si>
  <si>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</si>
  <si>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</si>
  <si>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</si>
  <si>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</si>
  <si>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</si>
  <si>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</si>
  <si>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</si>
  <si>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</si>
  <si>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</si>
  <si>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</si>
  <si>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</si>
  <si>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</si>
  <si>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</si>
  <si>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</si>
  <si>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</si>
  <si>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</si>
  <si>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</si>
  <si>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</si>
  <si>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</si>
  <si>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</si>
  <si>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</si>
  <si>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</si>
  <si>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</si>
  <si>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</si>
  <si>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</si>
  <si>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</si>
  <si>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</si>
  <si>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</si>
  <si>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</si>
  <si>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</si>
  <si>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</si>
  <si>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</si>
  <si>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</si>
  <si>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</si>
  <si>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</si>
  <si>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</si>
  <si>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</si>
  <si>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</si>
  <si>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</si>
  <si>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</si>
  <si>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</si>
  <si>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</si>
  <si>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</si>
  <si>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</si>
  <si>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</si>
  <si>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</si>
  <si>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</si>
  <si>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</si>
  <si>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</si>
  <si>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</si>
  <si>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</si>
  <si>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</si>
  <si>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</si>
  <si>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</si>
  <si>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</si>
  <si>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</si>
  <si>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</si>
  <si>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</si>
  <si>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</si>
  <si>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</si>
  <si>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</si>
  <si>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</si>
  <si>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</si>
  <si>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</si>
  <si>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</si>
  <si>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</si>
  <si>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</si>
  <si>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</si>
  <si>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</si>
  <si>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</si>
  <si>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</si>
  <si>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</si>
  <si>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</si>
  <si>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</si>
  <si>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</si>
  <si>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</si>
  <si>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</si>
  <si>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</si>
  <si>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</si>
  <si>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</si>
  <si>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</si>
  <si>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</si>
  <si>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</si>
  <si>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</si>
  <si>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</si>
  <si>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</si>
  <si>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</si>
  <si>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</si>
  <si>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</si>
  <si>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</si>
  <si>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</si>
  <si>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Ritonavir</t>
  </si>
  <si>
    <t>Lopinavir</t>
  </si>
  <si>
    <t>L20 2</t>
  </si>
  <si>
    <t>R9 1</t>
  </si>
  <si>
    <t xml:space="preserve">Lopinavir 200mg </t>
  </si>
  <si>
    <t>Ritonavir 50mg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</si>
</sst>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4" t="s">
        <v>14</v>
      </c>
      <c r="B11" s="425"/>
      <c r="C11" s="425"/>
      <c r="D11" s="425"/>
      <c r="E11" s="425"/>
      <c r="F11" s="426"/>
      <c r="G11" s="43"/>
    </row>
    <row r="12" spans="1:7" ht="16.5" customHeight="1" x14ac:dyDescent="0.3">
      <c r="A12" s="423" t="s">
        <v>15</v>
      </c>
      <c r="B12" s="423"/>
      <c r="C12" s="423"/>
      <c r="D12" s="423"/>
      <c r="E12" s="423"/>
      <c r="F12" s="423"/>
      <c r="G12" s="42"/>
    </row>
    <row r="14" spans="1:7" ht="16.5" customHeight="1" x14ac:dyDescent="0.3">
      <c r="A14" s="428" t="s">
        <v>16</v>
      </c>
      <c r="B14" s="428"/>
      <c r="C14" s="12" t="s">
        <v>2</v>
      </c>
    </row>
    <row r="15" spans="1:7" ht="16.5" customHeight="1" x14ac:dyDescent="0.3">
      <c r="A15" s="428" t="s">
        <v>17</v>
      </c>
      <c r="B15" s="428"/>
      <c r="C15" s="12" t="s">
        <v>4</v>
      </c>
    </row>
    <row r="16" spans="1:7" ht="16.5" customHeight="1" x14ac:dyDescent="0.3">
      <c r="A16" s="428" t="s">
        <v>18</v>
      </c>
      <c r="B16" s="428"/>
      <c r="C16" s="12" t="s">
        <v>5</v>
      </c>
    </row>
    <row r="17" spans="1:5" ht="16.5" customHeight="1" x14ac:dyDescent="0.3">
      <c r="A17" s="428" t="s">
        <v>19</v>
      </c>
      <c r="B17" s="428"/>
      <c r="C17" s="12" t="s">
        <v>6</v>
      </c>
    </row>
    <row r="18" spans="1:5" ht="16.5" customHeight="1" x14ac:dyDescent="0.3">
      <c r="A18" s="428" t="s">
        <v>20</v>
      </c>
      <c r="B18" s="428"/>
      <c r="C18" s="49" t="s">
        <v>7</v>
      </c>
    </row>
    <row r="19" spans="1:5" ht="16.5" customHeight="1" x14ac:dyDescent="0.3">
      <c r="A19" s="428" t="s">
        <v>21</v>
      </c>
      <c r="B19" s="42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3" t="s">
        <v>0</v>
      </c>
      <c r="B21" s="423"/>
      <c r="C21" s="11" t="s">
        <v>22</v>
      </c>
      <c r="D21" s="18"/>
    </row>
    <row r="22" spans="1:5" ht="15.75" customHeight="1" x14ac:dyDescent="0.3">
      <c r="A22" s="427"/>
      <c r="B22" s="427"/>
      <c r="C22" s="9"/>
      <c r="D22" s="427"/>
      <c r="E22" s="427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1245.5899999999999</v>
      </c>
      <c r="D24" s="39">
        <f t="shared" ref="D24:D43" si="0">(C24-$C$46)/$C$46</f>
        <v>-3.1862922609875062E-3</v>
      </c>
      <c r="E24" s="5"/>
    </row>
    <row r="25" spans="1:5" ht="15.75" customHeight="1" x14ac:dyDescent="0.3">
      <c r="C25" s="47">
        <v>1255.57</v>
      </c>
      <c r="D25" s="40">
        <f t="shared" si="0"/>
        <v>4.8004455927487663E-3</v>
      </c>
      <c r="E25" s="5"/>
    </row>
    <row r="26" spans="1:5" ht="15.75" customHeight="1" x14ac:dyDescent="0.3">
      <c r="C26" s="47">
        <v>1267.54</v>
      </c>
      <c r="D26" s="40">
        <f t="shared" si="0"/>
        <v>1.4379729371228047E-2</v>
      </c>
      <c r="E26" s="5"/>
    </row>
    <row r="27" spans="1:5" ht="15.75" customHeight="1" x14ac:dyDescent="0.3">
      <c r="C27" s="47">
        <v>1244.9000000000001</v>
      </c>
      <c r="D27" s="40">
        <f t="shared" si="0"/>
        <v>-3.7384815514761474E-3</v>
      </c>
      <c r="E27" s="5"/>
    </row>
    <row r="28" spans="1:5" ht="15.75" customHeight="1" x14ac:dyDescent="0.3">
      <c r="C28" s="47">
        <v>1252.52</v>
      </c>
      <c r="D28" s="40">
        <f t="shared" si="0"/>
        <v>2.3596088739215896E-3</v>
      </c>
      <c r="E28" s="5"/>
    </row>
    <row r="29" spans="1:5" ht="15.75" customHeight="1" x14ac:dyDescent="0.3">
      <c r="C29" s="47">
        <v>1249</v>
      </c>
      <c r="D29" s="40">
        <f t="shared" si="0"/>
        <v>-4.5735678190521236E-4</v>
      </c>
      <c r="E29" s="5"/>
    </row>
    <row r="30" spans="1:5" ht="15.75" customHeight="1" x14ac:dyDescent="0.3">
      <c r="C30" s="47">
        <v>1267.2</v>
      </c>
      <c r="D30" s="40">
        <f t="shared" si="0"/>
        <v>1.4107636097653932E-2</v>
      </c>
      <c r="E30" s="5"/>
    </row>
    <row r="31" spans="1:5" ht="15.75" customHeight="1" x14ac:dyDescent="0.3">
      <c r="C31" s="47">
        <v>1239.6500000000001</v>
      </c>
      <c r="D31" s="40">
        <f t="shared" si="0"/>
        <v>-7.9399218051951197E-3</v>
      </c>
      <c r="E31" s="5"/>
    </row>
    <row r="32" spans="1:5" ht="15.75" customHeight="1" x14ac:dyDescent="0.3">
      <c r="C32" s="47">
        <v>1257.48</v>
      </c>
      <c r="D32" s="40">
        <f t="shared" si="0"/>
        <v>6.3289695707684961E-3</v>
      </c>
      <c r="E32" s="5"/>
    </row>
    <row r="33" spans="1:7" ht="15.75" customHeight="1" x14ac:dyDescent="0.3">
      <c r="C33" s="47">
        <v>1243.03</v>
      </c>
      <c r="D33" s="40">
        <f t="shared" si="0"/>
        <v>-5.2349945561342382E-3</v>
      </c>
      <c r="E33" s="5"/>
    </row>
    <row r="34" spans="1:7" ht="15.75" customHeight="1" x14ac:dyDescent="0.3">
      <c r="C34" s="47">
        <v>1265.57</v>
      </c>
      <c r="D34" s="40">
        <f t="shared" si="0"/>
        <v>1.2803188933165859E-2</v>
      </c>
      <c r="E34" s="5"/>
    </row>
    <row r="35" spans="1:7" ht="15.75" customHeight="1" x14ac:dyDescent="0.3">
      <c r="C35" s="47">
        <v>1234.8699999999999</v>
      </c>
      <c r="D35" s="40">
        <f t="shared" si="0"/>
        <v>-1.176523312191465E-2</v>
      </c>
      <c r="E35" s="5"/>
    </row>
    <row r="36" spans="1:7" ht="15.75" customHeight="1" x14ac:dyDescent="0.3">
      <c r="C36" s="47">
        <v>1245.17</v>
      </c>
      <c r="D36" s="40">
        <f t="shared" si="0"/>
        <v>-3.5224074812849004E-3</v>
      </c>
      <c r="E36" s="5"/>
    </row>
    <row r="37" spans="1:7" ht="15.75" customHeight="1" x14ac:dyDescent="0.3">
      <c r="C37" s="47">
        <v>1251.4100000000001</v>
      </c>
      <c r="D37" s="40">
        <f t="shared" si="0"/>
        <v>1.4713043631353724E-3</v>
      </c>
      <c r="E37" s="5"/>
    </row>
    <row r="38" spans="1:7" ht="15.75" customHeight="1" x14ac:dyDescent="0.3">
      <c r="C38" s="47">
        <v>1247.49</v>
      </c>
      <c r="D38" s="40">
        <f t="shared" si="0"/>
        <v>-1.665771026308186E-3</v>
      </c>
      <c r="E38" s="5"/>
    </row>
    <row r="39" spans="1:7" ht="15.75" customHeight="1" x14ac:dyDescent="0.3">
      <c r="C39" s="47">
        <v>1260.53</v>
      </c>
      <c r="D39" s="40">
        <f t="shared" si="0"/>
        <v>8.7698062895956736E-3</v>
      </c>
      <c r="E39" s="5"/>
    </row>
    <row r="40" spans="1:7" ht="15.75" customHeight="1" x14ac:dyDescent="0.3">
      <c r="C40" s="47">
        <v>1249.99</v>
      </c>
      <c r="D40" s="40">
        <f t="shared" si="0"/>
        <v>3.3491480879608703E-4</v>
      </c>
      <c r="E40" s="5"/>
    </row>
    <row r="41" spans="1:7" ht="15.75" customHeight="1" x14ac:dyDescent="0.3">
      <c r="C41" s="47">
        <v>1230.42</v>
      </c>
      <c r="D41" s="40">
        <f t="shared" si="0"/>
        <v>-1.5326453908400111E-2</v>
      </c>
      <c r="E41" s="5"/>
    </row>
    <row r="42" spans="1:7" ht="15.75" customHeight="1" x14ac:dyDescent="0.3">
      <c r="C42" s="47">
        <v>1235.3</v>
      </c>
      <c r="D42" s="40">
        <f t="shared" si="0"/>
        <v>-1.1421115158276665E-2</v>
      </c>
      <c r="E42" s="5"/>
    </row>
    <row r="43" spans="1:7" ht="16.5" customHeight="1" x14ac:dyDescent="0.3">
      <c r="C43" s="48">
        <v>1248.2</v>
      </c>
      <c r="D43" s="41">
        <f t="shared" si="0"/>
        <v>-1.0975762491385434E-3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24991.430000000008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1249.5715000000005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421">
        <f>C46</f>
        <v>1249.5715000000005</v>
      </c>
      <c r="C49" s="45">
        <f>-IF(C46&lt;=80,10%,IF(C46&lt;250,7.5%,5%))</f>
        <v>-0.05</v>
      </c>
      <c r="D49" s="33">
        <f>IF(C46&lt;=80,C46*0.9,IF(C46&lt;250,C46*0.925,C46*0.95))</f>
        <v>1187.0929250000004</v>
      </c>
    </row>
    <row r="50" spans="1:6" ht="17.25" customHeight="1" x14ac:dyDescent="0.3">
      <c r="B50" s="422"/>
      <c r="C50" s="46">
        <f>IF(C46&lt;=80, 10%, IF(C46&lt;250, 7.5%, 5%))</f>
        <v>0.05</v>
      </c>
      <c r="D50" s="33">
        <f>IF(C46&lt;=80, C46*1.1, IF(C46&lt;250, C46*1.075, C46*1.05))</f>
        <v>1312.0500750000006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5" zoomScale="55" zoomScaleNormal="40" zoomScalePageLayoutView="55" workbookViewId="0">
      <selection activeCell="E133" sqref="E13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9" t="s">
        <v>28</v>
      </c>
      <c r="B1" s="459"/>
      <c r="C1" s="459"/>
      <c r="D1" s="459"/>
      <c r="E1" s="459"/>
      <c r="F1" s="459"/>
      <c r="G1" s="459"/>
      <c r="H1" s="459"/>
      <c r="I1" s="459"/>
    </row>
    <row r="2" spans="1:9" ht="18.75" customHeight="1" x14ac:dyDescent="0.25">
      <c r="A2" s="459"/>
      <c r="B2" s="459"/>
      <c r="C2" s="459"/>
      <c r="D2" s="459"/>
      <c r="E2" s="459"/>
      <c r="F2" s="459"/>
      <c r="G2" s="459"/>
      <c r="H2" s="459"/>
      <c r="I2" s="459"/>
    </row>
    <row r="3" spans="1:9" ht="18.75" customHeight="1" x14ac:dyDescent="0.25">
      <c r="A3" s="459"/>
      <c r="B3" s="459"/>
      <c r="C3" s="459"/>
      <c r="D3" s="459"/>
      <c r="E3" s="459"/>
      <c r="F3" s="459"/>
      <c r="G3" s="459"/>
      <c r="H3" s="459"/>
      <c r="I3" s="459"/>
    </row>
    <row r="4" spans="1:9" ht="18.75" customHeight="1" x14ac:dyDescent="0.25">
      <c r="A4" s="459"/>
      <c r="B4" s="459"/>
      <c r="C4" s="459"/>
      <c r="D4" s="459"/>
      <c r="E4" s="459"/>
      <c r="F4" s="459"/>
      <c r="G4" s="459"/>
      <c r="H4" s="459"/>
      <c r="I4" s="459"/>
    </row>
    <row r="5" spans="1:9" ht="18.75" customHeight="1" x14ac:dyDescent="0.25">
      <c r="A5" s="459"/>
      <c r="B5" s="459"/>
      <c r="C5" s="459"/>
      <c r="D5" s="459"/>
      <c r="E5" s="459"/>
      <c r="F5" s="459"/>
      <c r="G5" s="459"/>
      <c r="H5" s="459"/>
      <c r="I5" s="459"/>
    </row>
    <row r="6" spans="1:9" ht="18.75" customHeight="1" x14ac:dyDescent="0.25">
      <c r="A6" s="459"/>
      <c r="B6" s="459"/>
      <c r="C6" s="459"/>
      <c r="D6" s="459"/>
      <c r="E6" s="459"/>
      <c r="F6" s="459"/>
      <c r="G6" s="459"/>
      <c r="H6" s="459"/>
      <c r="I6" s="459"/>
    </row>
    <row r="7" spans="1:9" ht="18.75" customHeight="1" x14ac:dyDescent="0.25">
      <c r="A7" s="459"/>
      <c r="B7" s="459"/>
      <c r="C7" s="459"/>
      <c r="D7" s="459"/>
      <c r="E7" s="459"/>
      <c r="F7" s="459"/>
      <c r="G7" s="459"/>
      <c r="H7" s="459"/>
      <c r="I7" s="459"/>
    </row>
    <row r="8" spans="1:9" x14ac:dyDescent="0.25">
      <c r="A8" s="460" t="s">
        <v>29</v>
      </c>
      <c r="B8" s="460"/>
      <c r="C8" s="460"/>
      <c r="D8" s="460"/>
      <c r="E8" s="460"/>
      <c r="F8" s="460"/>
      <c r="G8" s="460"/>
      <c r="H8" s="460"/>
      <c r="I8" s="460"/>
    </row>
    <row r="9" spans="1:9" x14ac:dyDescent="0.25">
      <c r="A9" s="460"/>
      <c r="B9" s="460"/>
      <c r="C9" s="460"/>
      <c r="D9" s="460"/>
      <c r="E9" s="460"/>
      <c r="F9" s="460"/>
      <c r="G9" s="460"/>
      <c r="H9" s="460"/>
      <c r="I9" s="460"/>
    </row>
    <row r="10" spans="1:9" x14ac:dyDescent="0.25">
      <c r="A10" s="460"/>
      <c r="B10" s="460"/>
      <c r="C10" s="460"/>
      <c r="D10" s="460"/>
      <c r="E10" s="460"/>
      <c r="F10" s="460"/>
      <c r="G10" s="460"/>
      <c r="H10" s="460"/>
      <c r="I10" s="460"/>
    </row>
    <row r="11" spans="1:9" x14ac:dyDescent="0.25">
      <c r="A11" s="460"/>
      <c r="B11" s="460"/>
      <c r="C11" s="460"/>
      <c r="D11" s="460"/>
      <c r="E11" s="460"/>
      <c r="F11" s="460"/>
      <c r="G11" s="460"/>
      <c r="H11" s="460"/>
      <c r="I11" s="460"/>
    </row>
    <row r="12" spans="1:9" x14ac:dyDescent="0.25">
      <c r="A12" s="460"/>
      <c r="B12" s="460"/>
      <c r="C12" s="460"/>
      <c r="D12" s="460"/>
      <c r="E12" s="460"/>
      <c r="F12" s="460"/>
      <c r="G12" s="460"/>
      <c r="H12" s="460"/>
      <c r="I12" s="460"/>
    </row>
    <row r="13" spans="1:9" x14ac:dyDescent="0.25">
      <c r="A13" s="460"/>
      <c r="B13" s="460"/>
      <c r="C13" s="460"/>
      <c r="D13" s="460"/>
      <c r="E13" s="460"/>
      <c r="F13" s="460"/>
      <c r="G13" s="460"/>
      <c r="H13" s="460"/>
      <c r="I13" s="460"/>
    </row>
    <row r="14" spans="1:9" x14ac:dyDescent="0.25">
      <c r="A14" s="460"/>
      <c r="B14" s="460"/>
      <c r="C14" s="460"/>
      <c r="D14" s="460"/>
      <c r="E14" s="460"/>
      <c r="F14" s="460"/>
      <c r="G14" s="460"/>
      <c r="H14" s="460"/>
      <c r="I14" s="460"/>
    </row>
    <row r="15" spans="1:9" ht="19.5" customHeight="1" x14ac:dyDescent="0.3">
      <c r="A15" s="50"/>
    </row>
    <row r="16" spans="1:9" ht="19.5" customHeight="1" x14ac:dyDescent="0.3">
      <c r="A16" s="432" t="s">
        <v>14</v>
      </c>
      <c r="B16" s="433"/>
      <c r="C16" s="433"/>
      <c r="D16" s="433"/>
      <c r="E16" s="433"/>
      <c r="F16" s="433"/>
      <c r="G16" s="433"/>
      <c r="H16" s="434"/>
    </row>
    <row r="17" spans="1:14" ht="20.25" customHeight="1" x14ac:dyDescent="0.25">
      <c r="A17" s="435" t="s">
        <v>30</v>
      </c>
      <c r="B17" s="435"/>
      <c r="C17" s="435"/>
      <c r="D17" s="435"/>
      <c r="E17" s="435"/>
      <c r="F17" s="435"/>
      <c r="G17" s="435"/>
      <c r="H17" s="435"/>
    </row>
    <row r="18" spans="1:14" ht="26.25" customHeight="1" x14ac:dyDescent="0.4">
      <c r="A18" s="52" t="s">
        <v>16</v>
      </c>
      <c r="B18" s="431" t="s">
        <v>2</v>
      </c>
      <c r="C18" s="431"/>
      <c r="D18" s="195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20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436" t="s">
        <v>118</v>
      </c>
      <c r="C20" s="436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436" t="s">
        <v>6</v>
      </c>
      <c r="C21" s="436"/>
      <c r="D21" s="436"/>
      <c r="E21" s="436"/>
      <c r="F21" s="436"/>
      <c r="G21" s="436"/>
      <c r="H21" s="436"/>
      <c r="I21" s="56"/>
    </row>
    <row r="22" spans="1:14" ht="26.25" customHeight="1" x14ac:dyDescent="0.4">
      <c r="A22" s="52" t="s">
        <v>20</v>
      </c>
      <c r="B22" s="57">
        <v>42719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57">
        <v>42723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431" t="s">
        <v>115</v>
      </c>
      <c r="C26" s="431"/>
    </row>
    <row r="27" spans="1:14" ht="26.25" customHeight="1" x14ac:dyDescent="0.4">
      <c r="A27" s="61" t="s">
        <v>31</v>
      </c>
      <c r="B27" s="437" t="s">
        <v>116</v>
      </c>
      <c r="C27" s="437"/>
    </row>
    <row r="28" spans="1:14" ht="27" customHeight="1" x14ac:dyDescent="0.4">
      <c r="A28" s="61" t="s">
        <v>3</v>
      </c>
      <c r="B28" s="62">
        <v>99.8</v>
      </c>
    </row>
    <row r="29" spans="1:14" s="3" customFormat="1" ht="27" customHeight="1" x14ac:dyDescent="0.4">
      <c r="A29" s="61" t="s">
        <v>32</v>
      </c>
      <c r="B29" s="63">
        <v>0</v>
      </c>
      <c r="C29" s="438" t="s">
        <v>33</v>
      </c>
      <c r="D29" s="439"/>
      <c r="E29" s="439"/>
      <c r="F29" s="439"/>
      <c r="G29" s="440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1</v>
      </c>
      <c r="C31" s="441" t="s">
        <v>36</v>
      </c>
      <c r="D31" s="442"/>
      <c r="E31" s="442"/>
      <c r="F31" s="442"/>
      <c r="G31" s="442"/>
      <c r="H31" s="443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1</v>
      </c>
      <c r="C32" s="441" t="s">
        <v>38</v>
      </c>
      <c r="D32" s="442"/>
      <c r="E32" s="442"/>
      <c r="F32" s="442"/>
      <c r="G32" s="442"/>
      <c r="H32" s="44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1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10</v>
      </c>
      <c r="C36" s="51"/>
      <c r="D36" s="444" t="s">
        <v>42</v>
      </c>
      <c r="E36" s="445"/>
      <c r="F36" s="444" t="s">
        <v>43</v>
      </c>
      <c r="G36" s="44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3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10</v>
      </c>
      <c r="C38" s="83">
        <v>1</v>
      </c>
      <c r="D38" s="84">
        <v>1461075</v>
      </c>
      <c r="E38" s="85">
        <f>IF(ISBLANK(D38),"-",$D$48/$D$45*D38)</f>
        <v>1203158.2889645172</v>
      </c>
      <c r="F38" s="84">
        <v>1733467</v>
      </c>
      <c r="G38" s="86">
        <f>IF(ISBLANK(F38),"-",$D$48/$F$45*F38)</f>
        <v>1208626.1980652469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3</v>
      </c>
      <c r="C39" s="88">
        <v>2</v>
      </c>
      <c r="D39" s="89">
        <v>1455137</v>
      </c>
      <c r="E39" s="90">
        <f>IF(ISBLANK(D39),"-",$D$48/$D$45*D39)</f>
        <v>1198268.4962298039</v>
      </c>
      <c r="F39" s="89">
        <v>1742202</v>
      </c>
      <c r="G39" s="91">
        <f>IF(ISBLANK(F39),"-",$D$48/$F$45*F39)</f>
        <v>1214716.5071626222</v>
      </c>
      <c r="I39" s="448">
        <f>ABS((F43/D43*D42)-F42)/D42</f>
        <v>1.0928111556196204E-2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25</v>
      </c>
      <c r="C40" s="88">
        <v>3</v>
      </c>
      <c r="D40" s="89">
        <v>1463990</v>
      </c>
      <c r="E40" s="90">
        <f>IF(ISBLANK(D40),"-",$D$48/$D$45*D40)</f>
        <v>1205558.7176983822</v>
      </c>
      <c r="F40" s="89">
        <v>1745502</v>
      </c>
      <c r="G40" s="91">
        <f>IF(ISBLANK(F40),"-",$D$48/$F$45*F40)</f>
        <v>1217017.3680694727</v>
      </c>
      <c r="I40" s="448"/>
      <c r="L40" s="69"/>
      <c r="M40" s="69"/>
      <c r="N40" s="92"/>
    </row>
    <row r="41" spans="1:14" ht="27" customHeight="1" x14ac:dyDescent="0.4">
      <c r="A41" s="76" t="s">
        <v>52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53</v>
      </c>
      <c r="B42" s="77">
        <v>1</v>
      </c>
      <c r="C42" s="98" t="s">
        <v>54</v>
      </c>
      <c r="D42" s="99">
        <f>AVERAGE(D38:D41)</f>
        <v>1460067.3333333333</v>
      </c>
      <c r="E42" s="100">
        <f>AVERAGE(E38:E41)</f>
        <v>1202328.5009642344</v>
      </c>
      <c r="F42" s="99">
        <f>AVERAGE(F38:F41)</f>
        <v>1740390.3333333333</v>
      </c>
      <c r="G42" s="101">
        <f>AVERAGE(G38:G41)</f>
        <v>1213453.3577657805</v>
      </c>
      <c r="H42" s="102"/>
    </row>
    <row r="43" spans="1:14" ht="26.25" customHeight="1" x14ac:dyDescent="0.4">
      <c r="A43" s="76" t="s">
        <v>55</v>
      </c>
      <c r="B43" s="77">
        <v>1</v>
      </c>
      <c r="C43" s="103" t="s">
        <v>56</v>
      </c>
      <c r="D43" s="104">
        <v>8.4499999999999993</v>
      </c>
      <c r="E43" s="92"/>
      <c r="F43" s="104">
        <v>9.98</v>
      </c>
      <c r="H43" s="102"/>
    </row>
    <row r="44" spans="1:14" ht="26.25" customHeight="1" x14ac:dyDescent="0.4">
      <c r="A44" s="76" t="s">
        <v>57</v>
      </c>
      <c r="B44" s="77">
        <v>1</v>
      </c>
      <c r="C44" s="105" t="s">
        <v>58</v>
      </c>
      <c r="D44" s="106">
        <f>D43*$B$34</f>
        <v>8.4499999999999993</v>
      </c>
      <c r="E44" s="107"/>
      <c r="F44" s="106">
        <f>F43*$B$34</f>
        <v>9.98</v>
      </c>
      <c r="H44" s="102"/>
    </row>
    <row r="45" spans="1:14" ht="19.5" customHeight="1" x14ac:dyDescent="0.3">
      <c r="A45" s="76" t="s">
        <v>59</v>
      </c>
      <c r="B45" s="108">
        <f>(B44/B43)*(B42/B41)*(B40/B39)*(B38/B37)*B36</f>
        <v>277.77777777777783</v>
      </c>
      <c r="C45" s="105" t="s">
        <v>60</v>
      </c>
      <c r="D45" s="109">
        <f>D44*$B$30/100</f>
        <v>8.4330999999999996</v>
      </c>
      <c r="E45" s="110"/>
      <c r="F45" s="109">
        <f>F44*$B$30/100</f>
        <v>9.9600399999999993</v>
      </c>
      <c r="H45" s="102"/>
    </row>
    <row r="46" spans="1:14" ht="19.5" customHeight="1" x14ac:dyDescent="0.3">
      <c r="A46" s="449" t="s">
        <v>61</v>
      </c>
      <c r="B46" s="450"/>
      <c r="C46" s="105" t="s">
        <v>62</v>
      </c>
      <c r="D46" s="111">
        <f>D45/$B$45</f>
        <v>3.0359159999999993E-2</v>
      </c>
      <c r="E46" s="112"/>
      <c r="F46" s="113">
        <f>F45/$B$45</f>
        <v>3.5856143999999993E-2</v>
      </c>
      <c r="H46" s="102"/>
    </row>
    <row r="47" spans="1:14" ht="27" customHeight="1" x14ac:dyDescent="0.4">
      <c r="A47" s="451"/>
      <c r="B47" s="452"/>
      <c r="C47" s="114" t="s">
        <v>63</v>
      </c>
      <c r="D47" s="115">
        <v>2.5000000000000001E-2</v>
      </c>
      <c r="E47" s="116"/>
      <c r="F47" s="112"/>
      <c r="H47" s="102"/>
    </row>
    <row r="48" spans="1:14" ht="18.75" x14ac:dyDescent="0.3">
      <c r="C48" s="117" t="s">
        <v>64</v>
      </c>
      <c r="D48" s="109">
        <f>D47*$B$45</f>
        <v>6.9444444444444464</v>
      </c>
      <c r="F48" s="118"/>
      <c r="H48" s="102"/>
    </row>
    <row r="49" spans="1:12" ht="19.5" customHeight="1" x14ac:dyDescent="0.3">
      <c r="C49" s="119" t="s">
        <v>65</v>
      </c>
      <c r="D49" s="120">
        <f>D48/B34</f>
        <v>6.9444444444444464</v>
      </c>
      <c r="F49" s="118"/>
      <c r="H49" s="102"/>
    </row>
    <row r="50" spans="1:12" ht="18.75" x14ac:dyDescent="0.3">
      <c r="C50" s="74" t="s">
        <v>66</v>
      </c>
      <c r="D50" s="121">
        <f>AVERAGE(E38:E41,G38:G41)</f>
        <v>1207890.9293650074</v>
      </c>
      <c r="F50" s="122"/>
      <c r="H50" s="102"/>
    </row>
    <row r="51" spans="1:12" ht="18.75" x14ac:dyDescent="0.3">
      <c r="C51" s="76" t="s">
        <v>67</v>
      </c>
      <c r="D51" s="123">
        <f>STDEV(E38:E41,G38:G41)/D50</f>
        <v>5.8639971691782367E-3</v>
      </c>
      <c r="F51" s="122"/>
      <c r="H51" s="102"/>
    </row>
    <row r="52" spans="1:12" ht="19.5" customHeight="1" x14ac:dyDescent="0.3">
      <c r="C52" s="124" t="s">
        <v>8</v>
      </c>
      <c r="D52" s="125">
        <f>COUNT(E38:E41,G38:G41)</f>
        <v>6</v>
      </c>
      <c r="F52" s="122"/>
    </row>
    <row r="54" spans="1:12" ht="18.75" x14ac:dyDescent="0.3">
      <c r="A54" s="126" t="s">
        <v>0</v>
      </c>
      <c r="B54" s="127" t="s">
        <v>68</v>
      </c>
    </row>
    <row r="55" spans="1:12" ht="18.75" x14ac:dyDescent="0.3">
      <c r="A55" s="51" t="s">
        <v>69</v>
      </c>
      <c r="B55" s="128" t="str">
        <f>B21</f>
        <v>Each film-coated tablet contains Lopinavir 200 mg, Ritonavir 50 mg</v>
      </c>
    </row>
    <row r="56" spans="1:12" ht="26.25" customHeight="1" x14ac:dyDescent="0.4">
      <c r="A56" s="129" t="s">
        <v>70</v>
      </c>
      <c r="B56" s="130">
        <v>200</v>
      </c>
      <c r="C56" s="51" t="str">
        <f>B20</f>
        <v xml:space="preserve">Lopinavir 200mg </v>
      </c>
      <c r="H56" s="131"/>
    </row>
    <row r="57" spans="1:12" ht="18.75" x14ac:dyDescent="0.3">
      <c r="A57" s="128" t="s">
        <v>71</v>
      </c>
      <c r="B57" s="196">
        <f>Uniformity!C46</f>
        <v>1249.5715000000005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72</v>
      </c>
      <c r="B59" s="75">
        <v>100</v>
      </c>
      <c r="C59" s="51"/>
      <c r="D59" s="132" t="s">
        <v>73</v>
      </c>
      <c r="E59" s="133" t="s">
        <v>45</v>
      </c>
      <c r="F59" s="133" t="s">
        <v>46</v>
      </c>
      <c r="G59" s="133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5</v>
      </c>
      <c r="C60" s="453" t="s">
        <v>77</v>
      </c>
      <c r="D60" s="456">
        <v>1246.24</v>
      </c>
      <c r="E60" s="134">
        <v>1</v>
      </c>
      <c r="F60" s="319">
        <v>1150359</v>
      </c>
      <c r="G60" s="197">
        <f>IF(ISBLANK(F60),"-",(F60/$D$50*$D$47*$B$68)*($B$57/$D$60))</f>
        <v>190.98316891502256</v>
      </c>
      <c r="H60" s="215">
        <f t="shared" ref="H60:H71" si="0">IF(ISBLANK(F60),"-",(G60/$B$56)*100)</f>
        <v>95.49158445751128</v>
      </c>
      <c r="L60" s="64"/>
    </row>
    <row r="61" spans="1:12" s="3" customFormat="1" ht="26.25" customHeight="1" x14ac:dyDescent="0.4">
      <c r="A61" s="76" t="s">
        <v>78</v>
      </c>
      <c r="B61" s="77">
        <v>100</v>
      </c>
      <c r="C61" s="454"/>
      <c r="D61" s="457"/>
      <c r="E61" s="135">
        <v>2</v>
      </c>
      <c r="F61" s="273">
        <v>1161782</v>
      </c>
      <c r="G61" s="198">
        <f>IF(ISBLANK(F61),"-",(F61/$D$50*$D$47*$B$68)*($B$57/$D$60))</f>
        <v>192.87962101259927</v>
      </c>
      <c r="H61" s="216">
        <f t="shared" si="0"/>
        <v>96.439810506299636</v>
      </c>
      <c r="L61" s="64"/>
    </row>
    <row r="62" spans="1:12" s="3" customFormat="1" ht="26.25" customHeight="1" x14ac:dyDescent="0.4">
      <c r="A62" s="76" t="s">
        <v>79</v>
      </c>
      <c r="B62" s="77">
        <v>5</v>
      </c>
      <c r="C62" s="454"/>
      <c r="D62" s="457"/>
      <c r="E62" s="135">
        <v>3</v>
      </c>
      <c r="F62" s="321">
        <v>1145666</v>
      </c>
      <c r="G62" s="198">
        <f>IF(ISBLANK(F62),"-",(F62/$D$50*$D$47*$B$68)*($B$57/$D$60))</f>
        <v>190.204034738893</v>
      </c>
      <c r="H62" s="216">
        <f t="shared" si="0"/>
        <v>95.1020173694465</v>
      </c>
      <c r="L62" s="64"/>
    </row>
    <row r="63" spans="1:12" ht="27" customHeight="1" x14ac:dyDescent="0.4">
      <c r="A63" s="76" t="s">
        <v>80</v>
      </c>
      <c r="B63" s="77">
        <v>20</v>
      </c>
      <c r="C63" s="455"/>
      <c r="D63" s="458"/>
      <c r="E63" s="136">
        <v>4</v>
      </c>
      <c r="F63" s="323"/>
      <c r="G63" s="198" t="str">
        <f>IF(ISBLANK(F63),"-",(F63/$D$50*$D$47*$B$68)*($B$57/$D$60))</f>
        <v>-</v>
      </c>
      <c r="H63" s="216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453" t="s">
        <v>82</v>
      </c>
      <c r="D64" s="456">
        <v>1240.22</v>
      </c>
      <c r="E64" s="134">
        <v>1</v>
      </c>
      <c r="F64" s="319"/>
      <c r="G64" s="197" t="str">
        <f>IF(ISBLANK(F64),"-",(F64/$D$50*$D$47*$B$68)*($B$57/$D$64))</f>
        <v>-</v>
      </c>
      <c r="H64" s="215" t="str">
        <f t="shared" si="0"/>
        <v>-</v>
      </c>
    </row>
    <row r="65" spans="1:8" ht="26.25" customHeight="1" x14ac:dyDescent="0.4">
      <c r="A65" s="76" t="s">
        <v>83</v>
      </c>
      <c r="B65" s="77">
        <v>1</v>
      </c>
      <c r="C65" s="454"/>
      <c r="D65" s="457"/>
      <c r="E65" s="135">
        <v>2</v>
      </c>
      <c r="F65" s="273"/>
      <c r="G65" s="198" t="str">
        <f>IF(ISBLANK(F65),"-",(F65/$D$50*$D$47*$B$68)*($B$57/$D$64))</f>
        <v>-</v>
      </c>
      <c r="H65" s="216" t="str">
        <f t="shared" si="0"/>
        <v>-</v>
      </c>
    </row>
    <row r="66" spans="1:8" ht="26.25" customHeight="1" x14ac:dyDescent="0.4">
      <c r="A66" s="76" t="s">
        <v>84</v>
      </c>
      <c r="B66" s="77">
        <v>1</v>
      </c>
      <c r="C66" s="454"/>
      <c r="D66" s="457"/>
      <c r="E66" s="135">
        <v>3</v>
      </c>
      <c r="F66" s="273">
        <v>1123912</v>
      </c>
      <c r="G66" s="198">
        <f>IF(ISBLANK(F66),"-",(F66/$D$50*$D$47*$B$68)*($B$57/$D$64))</f>
        <v>187.49814035867152</v>
      </c>
      <c r="H66" s="216">
        <f t="shared" si="0"/>
        <v>93.74907017933576</v>
      </c>
    </row>
    <row r="67" spans="1:8" ht="27" customHeight="1" x14ac:dyDescent="0.4">
      <c r="A67" s="76" t="s">
        <v>85</v>
      </c>
      <c r="B67" s="77">
        <v>1</v>
      </c>
      <c r="C67" s="455"/>
      <c r="D67" s="458"/>
      <c r="E67" s="136">
        <v>4</v>
      </c>
      <c r="F67" s="323"/>
      <c r="G67" s="214" t="str">
        <f>IF(ISBLANK(F67),"-",(F67/$D$50*$D$47*$B$68)*($B$57/$D$64))</f>
        <v>-</v>
      </c>
      <c r="H67" s="217" t="str">
        <f t="shared" si="0"/>
        <v>-</v>
      </c>
    </row>
    <row r="68" spans="1:8" ht="26.25" customHeight="1" x14ac:dyDescent="0.4">
      <c r="A68" s="76" t="s">
        <v>86</v>
      </c>
      <c r="B68" s="137">
        <f>(B67/B66)*(B65/B64)*(B63/B62)*(B61/B60)*B59</f>
        <v>8000</v>
      </c>
      <c r="C68" s="453" t="s">
        <v>87</v>
      </c>
      <c r="D68" s="456">
        <v>1260.6099999999999</v>
      </c>
      <c r="E68" s="134">
        <v>1</v>
      </c>
      <c r="F68" s="319">
        <v>1145231</v>
      </c>
      <c r="G68" s="197">
        <f>IF(ISBLANK(F68),"-",(F68/$D$50*$D$47*$B$68)*($B$57/$D$68))</f>
        <v>187.96445701109866</v>
      </c>
      <c r="H68" s="216">
        <f t="shared" si="0"/>
        <v>93.98222850554933</v>
      </c>
    </row>
    <row r="69" spans="1:8" ht="27" customHeight="1" x14ac:dyDescent="0.4">
      <c r="A69" s="124" t="s">
        <v>88</v>
      </c>
      <c r="B69" s="138">
        <f>(D47*B68)/B56*B57</f>
        <v>1249.5715000000005</v>
      </c>
      <c r="C69" s="454"/>
      <c r="D69" s="457"/>
      <c r="E69" s="135">
        <v>2</v>
      </c>
      <c r="F69" s="273">
        <v>1137769</v>
      </c>
      <c r="G69" s="198">
        <f>IF(ISBLANK(F69),"-",(F69/$D$50*$D$47*$B$68)*($B$57/$D$68))</f>
        <v>186.73973398297875</v>
      </c>
      <c r="H69" s="216">
        <f t="shared" si="0"/>
        <v>93.369866991489374</v>
      </c>
    </row>
    <row r="70" spans="1:8" ht="26.25" customHeight="1" x14ac:dyDescent="0.4">
      <c r="A70" s="466" t="s">
        <v>61</v>
      </c>
      <c r="B70" s="467"/>
      <c r="C70" s="454"/>
      <c r="D70" s="457"/>
      <c r="E70" s="135">
        <v>3</v>
      </c>
      <c r="F70" s="273">
        <v>1142212</v>
      </c>
      <c r="G70" s="198">
        <f>IF(ISBLANK(F70),"-",(F70/$D$50*$D$47*$B$68)*($B$57/$D$68))</f>
        <v>187.46895462274514</v>
      </c>
      <c r="H70" s="216">
        <f t="shared" si="0"/>
        <v>93.734477311372572</v>
      </c>
    </row>
    <row r="71" spans="1:8" ht="27" customHeight="1" x14ac:dyDescent="0.4">
      <c r="A71" s="468"/>
      <c r="B71" s="469"/>
      <c r="C71" s="465"/>
      <c r="D71" s="458"/>
      <c r="E71" s="136">
        <v>4</v>
      </c>
      <c r="F71" s="323"/>
      <c r="G71" s="214" t="str">
        <f>IF(ISBLANK(F71),"-",(F71/$D$50*$D$47*$B$68)*($B$57/$D$68))</f>
        <v>-</v>
      </c>
      <c r="H71" s="217" t="str">
        <f t="shared" si="0"/>
        <v>-</v>
      </c>
    </row>
    <row r="72" spans="1:8" ht="26.25" customHeight="1" x14ac:dyDescent="0.4">
      <c r="A72" s="139"/>
      <c r="B72" s="139"/>
      <c r="C72" s="139"/>
      <c r="D72" s="139"/>
      <c r="E72" s="139"/>
      <c r="F72" s="141" t="s">
        <v>54</v>
      </c>
      <c r="G72" s="203">
        <f>AVERAGE(G60:G71)</f>
        <v>189.10544437742985</v>
      </c>
      <c r="H72" s="218">
        <f>AVERAGE(H60:H71)</f>
        <v>94.552722188714924</v>
      </c>
    </row>
    <row r="73" spans="1:8" ht="26.25" customHeight="1" x14ac:dyDescent="0.4">
      <c r="C73" s="139"/>
      <c r="D73" s="139"/>
      <c r="E73" s="139"/>
      <c r="F73" s="142" t="s">
        <v>67</v>
      </c>
      <c r="G73" s="202">
        <f>STDEV(G60:G71)/G72</f>
        <v>1.2046463757059643E-2</v>
      </c>
      <c r="H73" s="202">
        <f>STDEV(H60:H71)/H72</f>
        <v>1.2046463757059643E-2</v>
      </c>
    </row>
    <row r="74" spans="1:8" ht="27" customHeight="1" x14ac:dyDescent="0.4">
      <c r="A74" s="139"/>
      <c r="B74" s="139"/>
      <c r="C74" s="140"/>
      <c r="D74" s="140"/>
      <c r="E74" s="143"/>
      <c r="F74" s="144" t="s">
        <v>8</v>
      </c>
      <c r="G74" s="145">
        <f>COUNT(G60:G71)</f>
        <v>7</v>
      </c>
      <c r="H74" s="145">
        <f>COUNT(H60:H71)</f>
        <v>7</v>
      </c>
    </row>
    <row r="76" spans="1:8" ht="26.25" customHeight="1" x14ac:dyDescent="0.4">
      <c r="A76" s="60" t="s">
        <v>89</v>
      </c>
      <c r="B76" s="146" t="s">
        <v>90</v>
      </c>
      <c r="C76" s="461" t="str">
        <f>B26</f>
        <v>Lopinavir</v>
      </c>
      <c r="D76" s="461"/>
      <c r="E76" s="147" t="s">
        <v>91</v>
      </c>
      <c r="F76" s="147"/>
      <c r="G76" s="148">
        <f>H72</f>
        <v>94.552722188714924</v>
      </c>
      <c r="H76" s="149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447" t="str">
        <f>B26</f>
        <v>Lopinavir</v>
      </c>
      <c r="C79" s="447"/>
    </row>
    <row r="80" spans="1:8" ht="26.25" customHeight="1" x14ac:dyDescent="0.4">
      <c r="A80" s="61" t="s">
        <v>31</v>
      </c>
      <c r="B80" s="447" t="str">
        <f>B27</f>
        <v>L20 2</v>
      </c>
      <c r="C80" s="447"/>
    </row>
    <row r="81" spans="1:12" ht="27" customHeight="1" x14ac:dyDescent="0.4">
      <c r="A81" s="61" t="s">
        <v>3</v>
      </c>
      <c r="B81" s="150">
        <f>B28</f>
        <v>99.8</v>
      </c>
    </row>
    <row r="82" spans="1:12" s="3" customFormat="1" ht="27" customHeight="1" x14ac:dyDescent="0.4">
      <c r="A82" s="61" t="s">
        <v>32</v>
      </c>
      <c r="B82" s="63">
        <v>0</v>
      </c>
      <c r="C82" s="438" t="s">
        <v>33</v>
      </c>
      <c r="D82" s="439"/>
      <c r="E82" s="439"/>
      <c r="F82" s="439"/>
      <c r="G82" s="440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1</v>
      </c>
      <c r="C84" s="441" t="s">
        <v>94</v>
      </c>
      <c r="D84" s="442"/>
      <c r="E84" s="442"/>
      <c r="F84" s="442"/>
      <c r="G84" s="442"/>
      <c r="H84" s="443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1</v>
      </c>
      <c r="C85" s="441" t="s">
        <v>95</v>
      </c>
      <c r="D85" s="442"/>
      <c r="E85" s="442"/>
      <c r="F85" s="442"/>
      <c r="G85" s="442"/>
      <c r="H85" s="44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1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10</v>
      </c>
      <c r="D89" s="151" t="s">
        <v>42</v>
      </c>
      <c r="E89" s="152"/>
      <c r="F89" s="444" t="s">
        <v>43</v>
      </c>
      <c r="G89" s="446"/>
    </row>
    <row r="90" spans="1:12" ht="27" customHeight="1" x14ac:dyDescent="0.4">
      <c r="A90" s="76" t="s">
        <v>44</v>
      </c>
      <c r="B90" s="77">
        <v>4</v>
      </c>
      <c r="C90" s="153" t="s">
        <v>45</v>
      </c>
      <c r="D90" s="79" t="s">
        <v>46</v>
      </c>
      <c r="E90" s="80" t="s">
        <v>47</v>
      </c>
      <c r="F90" s="79" t="s">
        <v>46</v>
      </c>
      <c r="G90" s="154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25</v>
      </c>
      <c r="C91" s="155">
        <v>1</v>
      </c>
      <c r="D91" s="84">
        <v>2192211</v>
      </c>
      <c r="E91" s="85">
        <f>IF(ISBLANK(D91),"-",$D$101/$D$98*D91)</f>
        <v>1805230.2830513096</v>
      </c>
      <c r="F91" s="84">
        <v>2614620</v>
      </c>
      <c r="G91" s="86">
        <f>IF(ISBLANK(F91),"-",$D$101/$F$98*F91)</f>
        <v>1822993.0134149394</v>
      </c>
      <c r="I91" s="87"/>
    </row>
    <row r="92" spans="1:12" ht="26.25" customHeight="1" x14ac:dyDescent="0.4">
      <c r="A92" s="76" t="s">
        <v>50</v>
      </c>
      <c r="B92" s="77">
        <v>1</v>
      </c>
      <c r="C92" s="140">
        <v>2</v>
      </c>
      <c r="D92" s="89">
        <v>2209308</v>
      </c>
      <c r="E92" s="90">
        <f>IF(ISBLANK(D92),"-",$D$101/$D$98*D92)</f>
        <v>1819309.2298996416</v>
      </c>
      <c r="F92" s="89">
        <v>2622611</v>
      </c>
      <c r="G92" s="91">
        <f>IF(ISBLANK(F92),"-",$D$101/$F$98*F92)</f>
        <v>1828564.5829624066</v>
      </c>
      <c r="I92" s="448">
        <f>ABS((F96/D96*D95)-F95)/D95</f>
        <v>1.0653152941919722E-2</v>
      </c>
    </row>
    <row r="93" spans="1:12" ht="26.25" customHeight="1" x14ac:dyDescent="0.4">
      <c r="A93" s="76" t="s">
        <v>51</v>
      </c>
      <c r="B93" s="77">
        <v>1</v>
      </c>
      <c r="C93" s="140">
        <v>3</v>
      </c>
      <c r="D93" s="89">
        <v>2192757</v>
      </c>
      <c r="E93" s="90">
        <f>IF(ISBLANK(D93),"-",$D$101/$D$98*D93)</f>
        <v>1805679.9002343938</v>
      </c>
      <c r="F93" s="89">
        <v>2621288</v>
      </c>
      <c r="G93" s="91">
        <f>IF(ISBLANK(F93),"-",$D$101/$F$98*F93)</f>
        <v>1827642.1469079331</v>
      </c>
      <c r="I93" s="448"/>
    </row>
    <row r="94" spans="1:12" ht="27" customHeight="1" x14ac:dyDescent="0.4">
      <c r="A94" s="76" t="s">
        <v>52</v>
      </c>
      <c r="B94" s="77">
        <v>1</v>
      </c>
      <c r="C94" s="156">
        <v>4</v>
      </c>
      <c r="D94" s="94"/>
      <c r="E94" s="95" t="str">
        <f>IF(ISBLANK(D94),"-",$D$101/$D$98*D94)</f>
        <v>-</v>
      </c>
      <c r="F94" s="157"/>
      <c r="G94" s="96" t="str">
        <f>IF(ISBLANK(F94),"-",$D$101/$F$98*F94)</f>
        <v>-</v>
      </c>
      <c r="I94" s="97"/>
    </row>
    <row r="95" spans="1:12" ht="27" customHeight="1" x14ac:dyDescent="0.4">
      <c r="A95" s="76" t="s">
        <v>53</v>
      </c>
      <c r="B95" s="77">
        <v>1</v>
      </c>
      <c r="C95" s="158" t="s">
        <v>54</v>
      </c>
      <c r="D95" s="159">
        <f>AVERAGE(D91:D94)</f>
        <v>2198092</v>
      </c>
      <c r="E95" s="100">
        <f>AVERAGE(E91:E94)</f>
        <v>1810073.1377284483</v>
      </c>
      <c r="F95" s="160">
        <f>AVERAGE(F91:F94)</f>
        <v>2619506.3333333335</v>
      </c>
      <c r="G95" s="161">
        <f>AVERAGE(G91:G94)</f>
        <v>1826399.9144284262</v>
      </c>
    </row>
    <row r="96" spans="1:12" ht="26.25" customHeight="1" x14ac:dyDescent="0.4">
      <c r="A96" s="76" t="s">
        <v>55</v>
      </c>
      <c r="B96" s="62">
        <v>1</v>
      </c>
      <c r="C96" s="162" t="s">
        <v>96</v>
      </c>
      <c r="D96" s="163">
        <f>D43</f>
        <v>8.4499999999999993</v>
      </c>
      <c r="E96" s="92"/>
      <c r="F96" s="104">
        <f>F43</f>
        <v>9.98</v>
      </c>
    </row>
    <row r="97" spans="1:10" ht="26.25" customHeight="1" x14ac:dyDescent="0.4">
      <c r="A97" s="76" t="s">
        <v>57</v>
      </c>
      <c r="B97" s="62">
        <v>1</v>
      </c>
      <c r="C97" s="164" t="s">
        <v>97</v>
      </c>
      <c r="D97" s="165">
        <f>D96*$B$87</f>
        <v>8.4499999999999993</v>
      </c>
      <c r="E97" s="107"/>
      <c r="F97" s="106">
        <f>F96*$B$87</f>
        <v>9.98</v>
      </c>
    </row>
    <row r="98" spans="1:10" ht="19.5" customHeight="1" x14ac:dyDescent="0.3">
      <c r="A98" s="76" t="s">
        <v>59</v>
      </c>
      <c r="B98" s="166">
        <f>(B97/B96)*(B95/B94)*(B93/B92)*(B91/B90)*B89</f>
        <v>62.5</v>
      </c>
      <c r="C98" s="164" t="s">
        <v>98</v>
      </c>
      <c r="D98" s="167">
        <f>D97*$B$83/100</f>
        <v>8.4330999999999996</v>
      </c>
      <c r="E98" s="110"/>
      <c r="F98" s="109">
        <f>F97*$B$83/100</f>
        <v>9.9600399999999993</v>
      </c>
    </row>
    <row r="99" spans="1:10" ht="19.5" customHeight="1" x14ac:dyDescent="0.3">
      <c r="A99" s="449" t="s">
        <v>61</v>
      </c>
      <c r="B99" s="463"/>
      <c r="C99" s="164" t="s">
        <v>99</v>
      </c>
      <c r="D99" s="168">
        <f>D98/$B$98</f>
        <v>0.13492959999999998</v>
      </c>
      <c r="E99" s="110"/>
      <c r="F99" s="113">
        <f>F98/$B$98</f>
        <v>0.15936064</v>
      </c>
      <c r="G99" s="169"/>
      <c r="H99" s="102"/>
    </row>
    <row r="100" spans="1:10" ht="19.5" customHeight="1" x14ac:dyDescent="0.3">
      <c r="A100" s="451"/>
      <c r="B100" s="464"/>
      <c r="C100" s="164" t="s">
        <v>63</v>
      </c>
      <c r="D100" s="170">
        <f>$B$56/$B$116</f>
        <v>0.1111111111111111</v>
      </c>
      <c r="F100" s="118"/>
      <c r="G100" s="171"/>
      <c r="H100" s="102"/>
    </row>
    <row r="101" spans="1:10" ht="18.75" x14ac:dyDescent="0.3">
      <c r="C101" s="164" t="s">
        <v>64</v>
      </c>
      <c r="D101" s="165">
        <f>D100*$B$98</f>
        <v>6.9444444444444438</v>
      </c>
      <c r="F101" s="118"/>
      <c r="G101" s="169"/>
      <c r="H101" s="102"/>
    </row>
    <row r="102" spans="1:10" ht="19.5" customHeight="1" x14ac:dyDescent="0.3">
      <c r="C102" s="172" t="s">
        <v>65</v>
      </c>
      <c r="D102" s="173">
        <f>D101/B34</f>
        <v>6.9444444444444438</v>
      </c>
      <c r="F102" s="122"/>
      <c r="G102" s="169"/>
      <c r="H102" s="102"/>
      <c r="J102" s="174"/>
    </row>
    <row r="103" spans="1:10" ht="18.75" x14ac:dyDescent="0.3">
      <c r="C103" s="175" t="s">
        <v>100</v>
      </c>
      <c r="D103" s="176">
        <f>AVERAGE(E91:E94,G91:G94)</f>
        <v>1818236.5260784375</v>
      </c>
      <c r="F103" s="122"/>
      <c r="G103" s="177"/>
      <c r="H103" s="102"/>
      <c r="J103" s="178"/>
    </row>
    <row r="104" spans="1:10" ht="18.75" x14ac:dyDescent="0.3">
      <c r="C104" s="142" t="s">
        <v>67</v>
      </c>
      <c r="D104" s="179">
        <f>STDEV(E91:E94,G91:G94)/D103</f>
        <v>5.7458955511000918E-3</v>
      </c>
      <c r="F104" s="122"/>
      <c r="G104" s="169"/>
      <c r="H104" s="102"/>
      <c r="J104" s="178"/>
    </row>
    <row r="105" spans="1:10" ht="19.5" customHeight="1" x14ac:dyDescent="0.3">
      <c r="C105" s="144" t="s">
        <v>8</v>
      </c>
      <c r="D105" s="180">
        <f>COUNT(E91:E94,G91:G94)</f>
        <v>6</v>
      </c>
      <c r="F105" s="122"/>
      <c r="G105" s="169"/>
      <c r="H105" s="102"/>
      <c r="J105" s="17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101</v>
      </c>
      <c r="B107" s="75">
        <v>900</v>
      </c>
      <c r="C107" s="219" t="s">
        <v>102</v>
      </c>
      <c r="D107" s="219" t="s">
        <v>46</v>
      </c>
      <c r="E107" s="219" t="s">
        <v>103</v>
      </c>
      <c r="F107" s="181" t="s">
        <v>104</v>
      </c>
    </row>
    <row r="108" spans="1:10" ht="26.25" customHeight="1" x14ac:dyDescent="0.4">
      <c r="A108" s="76" t="s">
        <v>105</v>
      </c>
      <c r="B108" s="77">
        <v>5</v>
      </c>
      <c r="C108" s="224">
        <v>1</v>
      </c>
      <c r="D108" s="225">
        <v>1729889</v>
      </c>
      <c r="E108" s="199">
        <f t="shared" ref="E108:E113" si="1">IF(ISBLANK(D108),"-",D108/$D$103*$D$100*$B$116)</f>
        <v>190.2820645376666</v>
      </c>
      <c r="F108" s="226">
        <f t="shared" ref="F108:F113" si="2">IF(ISBLANK(D108), "-", (E108/$B$56)*100)</f>
        <v>95.1410322688333</v>
      </c>
    </row>
    <row r="109" spans="1:10" ht="26.25" customHeight="1" x14ac:dyDescent="0.4">
      <c r="A109" s="76" t="s">
        <v>78</v>
      </c>
      <c r="B109" s="77">
        <v>10</v>
      </c>
      <c r="C109" s="220">
        <v>2</v>
      </c>
      <c r="D109" s="222">
        <v>1695174</v>
      </c>
      <c r="E109" s="200">
        <f t="shared" si="1"/>
        <v>186.46352943487963</v>
      </c>
      <c r="F109" s="227">
        <f t="shared" si="2"/>
        <v>93.231764717439816</v>
      </c>
    </row>
    <row r="110" spans="1:10" ht="26.25" customHeight="1" x14ac:dyDescent="0.4">
      <c r="A110" s="76" t="s">
        <v>79</v>
      </c>
      <c r="B110" s="77">
        <v>1</v>
      </c>
      <c r="C110" s="220">
        <v>3</v>
      </c>
      <c r="D110" s="222">
        <v>1688991</v>
      </c>
      <c r="E110" s="200">
        <f t="shared" si="1"/>
        <v>185.78341989892883</v>
      </c>
      <c r="F110" s="227">
        <f t="shared" si="2"/>
        <v>92.891709949464413</v>
      </c>
    </row>
    <row r="111" spans="1:10" ht="26.25" customHeight="1" x14ac:dyDescent="0.4">
      <c r="A111" s="76" t="s">
        <v>80</v>
      </c>
      <c r="B111" s="77">
        <v>1</v>
      </c>
      <c r="C111" s="220">
        <v>4</v>
      </c>
      <c r="D111" s="222">
        <v>1692610</v>
      </c>
      <c r="E111" s="200">
        <f t="shared" si="1"/>
        <v>186.18149792102261</v>
      </c>
      <c r="F111" s="227">
        <f t="shared" si="2"/>
        <v>93.090748960511306</v>
      </c>
    </row>
    <row r="112" spans="1:10" ht="26.25" customHeight="1" x14ac:dyDescent="0.4">
      <c r="A112" s="76" t="s">
        <v>81</v>
      </c>
      <c r="B112" s="77">
        <v>1</v>
      </c>
      <c r="C112" s="220">
        <v>5</v>
      </c>
      <c r="D112" s="222">
        <v>1698233</v>
      </c>
      <c r="E112" s="200">
        <f t="shared" si="1"/>
        <v>186.80000931042119</v>
      </c>
      <c r="F112" s="227">
        <f t="shared" si="2"/>
        <v>93.400004655210594</v>
      </c>
    </row>
    <row r="113" spans="1:10" ht="27" customHeight="1" x14ac:dyDescent="0.4">
      <c r="A113" s="76" t="s">
        <v>83</v>
      </c>
      <c r="B113" s="77">
        <v>1</v>
      </c>
      <c r="C113" s="221">
        <v>6</v>
      </c>
      <c r="D113" s="223">
        <v>1688813</v>
      </c>
      <c r="E113" s="201">
        <f t="shared" si="1"/>
        <v>185.76384048806045</v>
      </c>
      <c r="F113" s="228">
        <f t="shared" si="2"/>
        <v>92.881920244030226</v>
      </c>
    </row>
    <row r="114" spans="1:10" ht="27" customHeight="1" x14ac:dyDescent="0.4">
      <c r="A114" s="76" t="s">
        <v>84</v>
      </c>
      <c r="B114" s="77">
        <v>1</v>
      </c>
      <c r="C114" s="182"/>
      <c r="D114" s="140"/>
      <c r="E114" s="50"/>
      <c r="F114" s="229"/>
    </row>
    <row r="115" spans="1:10" ht="26.25" customHeight="1" x14ac:dyDescent="0.4">
      <c r="A115" s="76" t="s">
        <v>85</v>
      </c>
      <c r="B115" s="77">
        <v>1</v>
      </c>
      <c r="C115" s="182"/>
      <c r="D115" s="206" t="s">
        <v>54</v>
      </c>
      <c r="E115" s="208">
        <f>AVERAGE(E108:E113)</f>
        <v>186.87906026516319</v>
      </c>
      <c r="F115" s="230">
        <f>AVERAGE(F108:F113)</f>
        <v>93.439530132581595</v>
      </c>
    </row>
    <row r="116" spans="1:10" ht="27" customHeight="1" x14ac:dyDescent="0.4">
      <c r="A116" s="76" t="s">
        <v>86</v>
      </c>
      <c r="B116" s="108">
        <f>(B115/B114)*(B113/B112)*(B111/B110)*(B109/B108)*B107</f>
        <v>1800</v>
      </c>
      <c r="C116" s="183"/>
      <c r="D116" s="207" t="s">
        <v>67</v>
      </c>
      <c r="E116" s="205">
        <f>STDEV(E108:E113)/E115</f>
        <v>9.1720533584829927E-3</v>
      </c>
      <c r="F116" s="184">
        <f>STDEV(F108:F113)/F115</f>
        <v>9.1720533584829927E-3</v>
      </c>
      <c r="I116" s="50"/>
    </row>
    <row r="117" spans="1:10" ht="27" customHeight="1" x14ac:dyDescent="0.4">
      <c r="A117" s="449" t="s">
        <v>61</v>
      </c>
      <c r="B117" s="450"/>
      <c r="C117" s="185"/>
      <c r="D117" s="144" t="s">
        <v>8</v>
      </c>
      <c r="E117" s="210">
        <f>COUNT(E108:E113)</f>
        <v>6</v>
      </c>
      <c r="F117" s="211">
        <f>COUNT(F108:F113)</f>
        <v>6</v>
      </c>
      <c r="I117" s="50"/>
      <c r="J117" s="178"/>
    </row>
    <row r="118" spans="1:10" ht="26.25" customHeight="1" x14ac:dyDescent="0.3">
      <c r="A118" s="451"/>
      <c r="B118" s="452"/>
      <c r="C118" s="50"/>
      <c r="D118" s="209"/>
      <c r="E118" s="429" t="s">
        <v>106</v>
      </c>
      <c r="F118" s="430"/>
      <c r="G118" s="50"/>
      <c r="H118" s="50"/>
      <c r="I118" s="50"/>
    </row>
    <row r="119" spans="1:10" ht="25.5" customHeight="1" x14ac:dyDescent="0.4">
      <c r="A119" s="194"/>
      <c r="B119" s="72"/>
      <c r="C119" s="50"/>
      <c r="D119" s="207" t="s">
        <v>107</v>
      </c>
      <c r="E119" s="212">
        <f>MIN(E108:E113)</f>
        <v>185.76384048806045</v>
      </c>
      <c r="F119" s="231">
        <f>MIN(F108:F113)</f>
        <v>92.881920244030226</v>
      </c>
      <c r="G119" s="50"/>
      <c r="H119" s="50"/>
      <c r="I119" s="50"/>
    </row>
    <row r="120" spans="1:10" ht="24" customHeight="1" x14ac:dyDescent="0.4">
      <c r="A120" s="194"/>
      <c r="B120" s="72"/>
      <c r="C120" s="50"/>
      <c r="D120" s="119" t="s">
        <v>108</v>
      </c>
      <c r="E120" s="213">
        <f>MAX(E108:E113)</f>
        <v>190.2820645376666</v>
      </c>
      <c r="F120" s="232">
        <f>MAX(F108:F113)</f>
        <v>95.1410322688333</v>
      </c>
      <c r="G120" s="50"/>
      <c r="H120" s="50"/>
      <c r="I120" s="50"/>
    </row>
    <row r="121" spans="1:10" ht="27" customHeight="1" x14ac:dyDescent="0.3">
      <c r="A121" s="194"/>
      <c r="B121" s="72"/>
      <c r="C121" s="50"/>
      <c r="D121" s="50"/>
      <c r="E121" s="50"/>
      <c r="F121" s="140"/>
      <c r="G121" s="50"/>
      <c r="H121" s="50"/>
      <c r="I121" s="50"/>
    </row>
    <row r="122" spans="1:10" ht="25.5" customHeight="1" x14ac:dyDescent="0.3">
      <c r="A122" s="194"/>
      <c r="B122" s="72"/>
      <c r="C122" s="50"/>
      <c r="D122" s="50"/>
      <c r="E122" s="50"/>
      <c r="F122" s="140"/>
      <c r="G122" s="50"/>
      <c r="H122" s="50"/>
      <c r="I122" s="50"/>
    </row>
    <row r="123" spans="1:10" ht="18.75" x14ac:dyDescent="0.3">
      <c r="A123" s="194"/>
      <c r="B123" s="72"/>
      <c r="C123" s="50"/>
      <c r="D123" s="50"/>
      <c r="E123" s="50"/>
      <c r="F123" s="140"/>
      <c r="G123" s="50"/>
      <c r="H123" s="50"/>
      <c r="I123" s="50"/>
    </row>
    <row r="124" spans="1:10" ht="45.75" customHeight="1" x14ac:dyDescent="0.65">
      <c r="A124" s="60" t="s">
        <v>89</v>
      </c>
      <c r="B124" s="146" t="s">
        <v>109</v>
      </c>
      <c r="C124" s="461" t="str">
        <f>B26</f>
        <v>Lopinavir</v>
      </c>
      <c r="D124" s="461"/>
      <c r="E124" s="147" t="s">
        <v>110</v>
      </c>
      <c r="F124" s="147"/>
      <c r="G124" s="233">
        <f>F115</f>
        <v>93.439530132581595</v>
      </c>
      <c r="H124" s="50"/>
      <c r="I124" s="50"/>
    </row>
    <row r="125" spans="1:10" ht="45.75" customHeight="1" x14ac:dyDescent="0.65">
      <c r="A125" s="60"/>
      <c r="B125" s="146" t="s">
        <v>111</v>
      </c>
      <c r="C125" s="61" t="s">
        <v>112</v>
      </c>
      <c r="D125" s="233">
        <f>MIN(F108:F113)</f>
        <v>92.881920244030226</v>
      </c>
      <c r="E125" s="158" t="s">
        <v>113</v>
      </c>
      <c r="F125" s="233">
        <f>MAX(F108:F113)</f>
        <v>95.1410322688333</v>
      </c>
      <c r="G125" s="148"/>
      <c r="H125" s="50"/>
      <c r="I125" s="50"/>
    </row>
    <row r="126" spans="1:10" ht="19.5" customHeight="1" x14ac:dyDescent="0.3">
      <c r="A126" s="186"/>
      <c r="B126" s="186"/>
      <c r="C126" s="187"/>
      <c r="D126" s="187"/>
      <c r="E126" s="187"/>
      <c r="F126" s="187"/>
      <c r="G126" s="187"/>
      <c r="H126" s="187"/>
    </row>
    <row r="127" spans="1:10" ht="18.75" x14ac:dyDescent="0.3">
      <c r="B127" s="462" t="s">
        <v>9</v>
      </c>
      <c r="C127" s="462"/>
      <c r="E127" s="153" t="s">
        <v>10</v>
      </c>
      <c r="F127" s="188"/>
      <c r="G127" s="462" t="s">
        <v>11</v>
      </c>
      <c r="H127" s="462"/>
    </row>
    <row r="128" spans="1:10" ht="69.95" customHeight="1" x14ac:dyDescent="0.3">
      <c r="A128" s="189" t="s">
        <v>12</v>
      </c>
      <c r="B128" s="190"/>
      <c r="C128" s="190"/>
      <c r="E128" s="190"/>
      <c r="F128" s="50"/>
      <c r="G128" s="191"/>
      <c r="H128" s="191"/>
    </row>
    <row r="129" spans="1:9" ht="69.95" customHeight="1" x14ac:dyDescent="0.3">
      <c r="A129" s="189" t="s">
        <v>13</v>
      </c>
      <c r="B129" s="192"/>
      <c r="C129" s="192"/>
      <c r="E129" s="192"/>
      <c r="F129" s="50"/>
      <c r="G129" s="193"/>
      <c r="H129" s="193"/>
    </row>
    <row r="130" spans="1:9" ht="18.75" x14ac:dyDescent="0.3">
      <c r="A130" s="139"/>
      <c r="B130" s="139"/>
      <c r="C130" s="140"/>
      <c r="D130" s="140"/>
      <c r="E130" s="140"/>
      <c r="F130" s="143"/>
      <c r="G130" s="140"/>
      <c r="H130" s="140"/>
      <c r="I130" s="50"/>
    </row>
    <row r="131" spans="1:9" ht="18.75" x14ac:dyDescent="0.3">
      <c r="A131" s="139"/>
      <c r="B131" s="139"/>
      <c r="C131" s="140"/>
      <c r="D131" s="140"/>
      <c r="E131" s="140"/>
      <c r="F131" s="143"/>
      <c r="G131" s="140"/>
      <c r="H131" s="140"/>
      <c r="I131" s="50"/>
    </row>
    <row r="132" spans="1:9" ht="18.75" x14ac:dyDescent="0.3">
      <c r="A132" s="139"/>
      <c r="B132" s="139"/>
      <c r="C132" s="140"/>
      <c r="D132" s="140"/>
      <c r="E132" s="140"/>
      <c r="F132" s="143"/>
      <c r="G132" s="140"/>
      <c r="H132" s="140"/>
      <c r="I132" s="50"/>
    </row>
    <row r="133" spans="1:9" ht="18.75" x14ac:dyDescent="0.3">
      <c r="A133" s="139"/>
      <c r="B133" s="139"/>
      <c r="C133" s="140"/>
      <c r="D133" s="140"/>
      <c r="E133" s="140"/>
      <c r="F133" s="143"/>
      <c r="G133" s="140"/>
      <c r="H133" s="140"/>
      <c r="I133" s="50"/>
    </row>
    <row r="134" spans="1:9" ht="18.75" x14ac:dyDescent="0.3">
      <c r="A134" s="139"/>
      <c r="B134" s="139"/>
      <c r="C134" s="140"/>
      <c r="D134" s="140"/>
      <c r="E134" s="140"/>
      <c r="F134" s="143"/>
      <c r="G134" s="140"/>
      <c r="H134" s="140"/>
      <c r="I134" s="50"/>
    </row>
    <row r="135" spans="1:9" ht="18.75" x14ac:dyDescent="0.3">
      <c r="A135" s="139"/>
      <c r="B135" s="139"/>
      <c r="C135" s="140"/>
      <c r="D135" s="140"/>
      <c r="E135" s="140"/>
      <c r="F135" s="143"/>
      <c r="G135" s="140"/>
      <c r="H135" s="140"/>
      <c r="I135" s="50"/>
    </row>
    <row r="136" spans="1:9" ht="18.75" x14ac:dyDescent="0.3">
      <c r="A136" s="139"/>
      <c r="B136" s="139"/>
      <c r="C136" s="140"/>
      <c r="D136" s="140"/>
      <c r="E136" s="140"/>
      <c r="F136" s="143"/>
      <c r="G136" s="140"/>
      <c r="H136" s="140"/>
      <c r="I136" s="50"/>
    </row>
    <row r="137" spans="1:9" ht="18.75" x14ac:dyDescent="0.3">
      <c r="A137" s="139"/>
      <c r="B137" s="139"/>
      <c r="C137" s="140"/>
      <c r="D137" s="140"/>
      <c r="E137" s="140"/>
      <c r="F137" s="143"/>
      <c r="G137" s="140"/>
      <c r="H137" s="140"/>
      <c r="I137" s="50"/>
    </row>
    <row r="138" spans="1:9" ht="18.75" x14ac:dyDescent="0.3">
      <c r="A138" s="139"/>
      <c r="B138" s="139"/>
      <c r="C138" s="140"/>
      <c r="D138" s="140"/>
      <c r="E138" s="140"/>
      <c r="F138" s="143"/>
      <c r="G138" s="140"/>
      <c r="H138" s="140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2" zoomScale="55" zoomScaleNormal="40" zoomScalePageLayoutView="55" workbookViewId="0">
      <selection activeCell="G44" sqref="G4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9" t="s">
        <v>28</v>
      </c>
      <c r="B1" s="459"/>
      <c r="C1" s="459"/>
      <c r="D1" s="459"/>
      <c r="E1" s="459"/>
      <c r="F1" s="459"/>
      <c r="G1" s="459"/>
      <c r="H1" s="459"/>
      <c r="I1" s="459"/>
    </row>
    <row r="2" spans="1:9" ht="18.75" customHeight="1" x14ac:dyDescent="0.25">
      <c r="A2" s="459"/>
      <c r="B2" s="459"/>
      <c r="C2" s="459"/>
      <c r="D2" s="459"/>
      <c r="E2" s="459"/>
      <c r="F2" s="459"/>
      <c r="G2" s="459"/>
      <c r="H2" s="459"/>
      <c r="I2" s="459"/>
    </row>
    <row r="3" spans="1:9" ht="18.75" customHeight="1" x14ac:dyDescent="0.25">
      <c r="A3" s="459"/>
      <c r="B3" s="459"/>
      <c r="C3" s="459"/>
      <c r="D3" s="459"/>
      <c r="E3" s="459"/>
      <c r="F3" s="459"/>
      <c r="G3" s="459"/>
      <c r="H3" s="459"/>
      <c r="I3" s="459"/>
    </row>
    <row r="4" spans="1:9" ht="18.75" customHeight="1" x14ac:dyDescent="0.25">
      <c r="A4" s="459"/>
      <c r="B4" s="459"/>
      <c r="C4" s="459"/>
      <c r="D4" s="459"/>
      <c r="E4" s="459"/>
      <c r="F4" s="459"/>
      <c r="G4" s="459"/>
      <c r="H4" s="459"/>
      <c r="I4" s="459"/>
    </row>
    <row r="5" spans="1:9" ht="18.75" customHeight="1" x14ac:dyDescent="0.25">
      <c r="A5" s="459"/>
      <c r="B5" s="459"/>
      <c r="C5" s="459"/>
      <c r="D5" s="459"/>
      <c r="E5" s="459"/>
      <c r="F5" s="459"/>
      <c r="G5" s="459"/>
      <c r="H5" s="459"/>
      <c r="I5" s="459"/>
    </row>
    <row r="6" spans="1:9" ht="18.75" customHeight="1" x14ac:dyDescent="0.25">
      <c r="A6" s="459"/>
      <c r="B6" s="459"/>
      <c r="C6" s="459"/>
      <c r="D6" s="459"/>
      <c r="E6" s="459"/>
      <c r="F6" s="459"/>
      <c r="G6" s="459"/>
      <c r="H6" s="459"/>
      <c r="I6" s="459"/>
    </row>
    <row r="7" spans="1:9" ht="18.75" customHeight="1" x14ac:dyDescent="0.25">
      <c r="A7" s="459"/>
      <c r="B7" s="459"/>
      <c r="C7" s="459"/>
      <c r="D7" s="459"/>
      <c r="E7" s="459"/>
      <c r="F7" s="459"/>
      <c r="G7" s="459"/>
      <c r="H7" s="459"/>
      <c r="I7" s="459"/>
    </row>
    <row r="8" spans="1:9" x14ac:dyDescent="0.25">
      <c r="A8" s="460" t="s">
        <v>29</v>
      </c>
      <c r="B8" s="460"/>
      <c r="C8" s="460"/>
      <c r="D8" s="460"/>
      <c r="E8" s="460"/>
      <c r="F8" s="460"/>
      <c r="G8" s="460"/>
      <c r="H8" s="460"/>
      <c r="I8" s="460"/>
    </row>
    <row r="9" spans="1:9" x14ac:dyDescent="0.25">
      <c r="A9" s="460"/>
      <c r="B9" s="460"/>
      <c r="C9" s="460"/>
      <c r="D9" s="460"/>
      <c r="E9" s="460"/>
      <c r="F9" s="460"/>
      <c r="G9" s="460"/>
      <c r="H9" s="460"/>
      <c r="I9" s="460"/>
    </row>
    <row r="10" spans="1:9" x14ac:dyDescent="0.25">
      <c r="A10" s="460"/>
      <c r="B10" s="460"/>
      <c r="C10" s="460"/>
      <c r="D10" s="460"/>
      <c r="E10" s="460"/>
      <c r="F10" s="460"/>
      <c r="G10" s="460"/>
      <c r="H10" s="460"/>
      <c r="I10" s="460"/>
    </row>
    <row r="11" spans="1:9" x14ac:dyDescent="0.25">
      <c r="A11" s="460"/>
      <c r="B11" s="460"/>
      <c r="C11" s="460"/>
      <c r="D11" s="460"/>
      <c r="E11" s="460"/>
      <c r="F11" s="460"/>
      <c r="G11" s="460"/>
      <c r="H11" s="460"/>
      <c r="I11" s="460"/>
    </row>
    <row r="12" spans="1:9" x14ac:dyDescent="0.25">
      <c r="A12" s="460"/>
      <c r="B12" s="460"/>
      <c r="C12" s="460"/>
      <c r="D12" s="460"/>
      <c r="E12" s="460"/>
      <c r="F12" s="460"/>
      <c r="G12" s="460"/>
      <c r="H12" s="460"/>
      <c r="I12" s="460"/>
    </row>
    <row r="13" spans="1:9" x14ac:dyDescent="0.25">
      <c r="A13" s="460"/>
      <c r="B13" s="460"/>
      <c r="C13" s="460"/>
      <c r="D13" s="460"/>
      <c r="E13" s="460"/>
      <c r="F13" s="460"/>
      <c r="G13" s="460"/>
      <c r="H13" s="460"/>
      <c r="I13" s="460"/>
    </row>
    <row r="14" spans="1:9" x14ac:dyDescent="0.25">
      <c r="A14" s="460"/>
      <c r="B14" s="460"/>
      <c r="C14" s="460"/>
      <c r="D14" s="460"/>
      <c r="E14" s="460"/>
      <c r="F14" s="460"/>
      <c r="G14" s="460"/>
      <c r="H14" s="460"/>
      <c r="I14" s="460"/>
    </row>
    <row r="15" spans="1:9" ht="19.5" customHeight="1" x14ac:dyDescent="0.3">
      <c r="A15" s="234"/>
    </row>
    <row r="16" spans="1:9" ht="19.5" customHeight="1" x14ac:dyDescent="0.3">
      <c r="A16" s="432" t="s">
        <v>14</v>
      </c>
      <c r="B16" s="433"/>
      <c r="C16" s="433"/>
      <c r="D16" s="433"/>
      <c r="E16" s="433"/>
      <c r="F16" s="433"/>
      <c r="G16" s="433"/>
      <c r="H16" s="434"/>
    </row>
    <row r="17" spans="1:14" ht="20.25" customHeight="1" x14ac:dyDescent="0.25">
      <c r="A17" s="435" t="s">
        <v>30</v>
      </c>
      <c r="B17" s="435"/>
      <c r="C17" s="435"/>
      <c r="D17" s="435"/>
      <c r="E17" s="435"/>
      <c r="F17" s="435"/>
      <c r="G17" s="435"/>
      <c r="H17" s="435"/>
    </row>
    <row r="18" spans="1:14" ht="26.25" customHeight="1" x14ac:dyDescent="0.4">
      <c r="A18" s="236" t="s">
        <v>16</v>
      </c>
      <c r="B18" s="431" t="s">
        <v>2</v>
      </c>
      <c r="C18" s="431"/>
      <c r="D18" s="382"/>
      <c r="E18" s="237"/>
      <c r="F18" s="238"/>
      <c r="G18" s="238"/>
      <c r="H18" s="238"/>
    </row>
    <row r="19" spans="1:14" ht="26.25" customHeight="1" x14ac:dyDescent="0.4">
      <c r="A19" s="236" t="s">
        <v>17</v>
      </c>
      <c r="B19" s="239" t="s">
        <v>4</v>
      </c>
      <c r="C19" s="391">
        <v>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18</v>
      </c>
      <c r="B20" s="436" t="s">
        <v>119</v>
      </c>
      <c r="C20" s="436"/>
      <c r="D20" s="238"/>
      <c r="E20" s="238"/>
      <c r="F20" s="238"/>
      <c r="G20" s="238"/>
      <c r="H20" s="238"/>
    </row>
    <row r="21" spans="1:14" ht="26.25" customHeight="1" x14ac:dyDescent="0.4">
      <c r="A21" s="236" t="s">
        <v>19</v>
      </c>
      <c r="B21" s="436" t="s">
        <v>6</v>
      </c>
      <c r="C21" s="436"/>
      <c r="D21" s="436"/>
      <c r="E21" s="436"/>
      <c r="F21" s="436"/>
      <c r="G21" s="436"/>
      <c r="H21" s="436"/>
      <c r="I21" s="240"/>
    </row>
    <row r="22" spans="1:14" ht="26.25" customHeight="1" x14ac:dyDescent="0.4">
      <c r="A22" s="236" t="s">
        <v>20</v>
      </c>
      <c r="B22" s="241">
        <v>42719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21</v>
      </c>
      <c r="B23" s="241">
        <v>42723</v>
      </c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0</v>
      </c>
      <c r="B25" s="242"/>
    </row>
    <row r="26" spans="1:14" ht="26.25" customHeight="1" x14ac:dyDescent="0.4">
      <c r="A26" s="244" t="s">
        <v>1</v>
      </c>
      <c r="B26" s="431" t="s">
        <v>114</v>
      </c>
      <c r="C26" s="431"/>
    </row>
    <row r="27" spans="1:14" ht="26.25" customHeight="1" x14ac:dyDescent="0.4">
      <c r="A27" s="245" t="s">
        <v>31</v>
      </c>
      <c r="B27" s="437" t="s">
        <v>117</v>
      </c>
      <c r="C27" s="437"/>
    </row>
    <row r="28" spans="1:14" ht="27" customHeight="1" x14ac:dyDescent="0.4">
      <c r="A28" s="245" t="s">
        <v>3</v>
      </c>
      <c r="B28" s="246">
        <v>99.3</v>
      </c>
    </row>
    <row r="29" spans="1:14" s="3" customFormat="1" ht="27" customHeight="1" x14ac:dyDescent="0.4">
      <c r="A29" s="245" t="s">
        <v>32</v>
      </c>
      <c r="B29" s="247">
        <v>0</v>
      </c>
      <c r="C29" s="438" t="s">
        <v>33</v>
      </c>
      <c r="D29" s="439"/>
      <c r="E29" s="439"/>
      <c r="F29" s="439"/>
      <c r="G29" s="440"/>
      <c r="I29" s="248"/>
      <c r="J29" s="248"/>
      <c r="K29" s="248"/>
      <c r="L29" s="248"/>
    </row>
    <row r="30" spans="1:14" s="3" customFormat="1" ht="19.5" customHeight="1" x14ac:dyDescent="0.3">
      <c r="A30" s="245" t="s">
        <v>34</v>
      </c>
      <c r="B30" s="249">
        <f>B28-B29</f>
        <v>99.3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35</v>
      </c>
      <c r="B31" s="252">
        <v>1</v>
      </c>
      <c r="C31" s="441" t="s">
        <v>36</v>
      </c>
      <c r="D31" s="442"/>
      <c r="E31" s="442"/>
      <c r="F31" s="442"/>
      <c r="G31" s="442"/>
      <c r="H31" s="443"/>
      <c r="I31" s="248"/>
      <c r="J31" s="248"/>
      <c r="K31" s="248"/>
      <c r="L31" s="248"/>
    </row>
    <row r="32" spans="1:14" s="3" customFormat="1" ht="27" customHeight="1" x14ac:dyDescent="0.4">
      <c r="A32" s="245" t="s">
        <v>37</v>
      </c>
      <c r="B32" s="252">
        <v>1</v>
      </c>
      <c r="C32" s="441" t="s">
        <v>38</v>
      </c>
      <c r="D32" s="442"/>
      <c r="E32" s="442"/>
      <c r="F32" s="442"/>
      <c r="G32" s="442"/>
      <c r="H32" s="443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39</v>
      </c>
      <c r="B34" s="257">
        <f>B31/B32</f>
        <v>1</v>
      </c>
      <c r="C34" s="235" t="s">
        <v>40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41</v>
      </c>
      <c r="B36" s="259">
        <v>10</v>
      </c>
      <c r="C36" s="235"/>
      <c r="D36" s="444" t="s">
        <v>42</v>
      </c>
      <c r="E36" s="445"/>
      <c r="F36" s="444" t="s">
        <v>43</v>
      </c>
      <c r="G36" s="446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44</v>
      </c>
      <c r="B37" s="261">
        <v>4</v>
      </c>
      <c r="C37" s="262" t="s">
        <v>45</v>
      </c>
      <c r="D37" s="263" t="s">
        <v>46</v>
      </c>
      <c r="E37" s="264" t="s">
        <v>47</v>
      </c>
      <c r="F37" s="263" t="s">
        <v>46</v>
      </c>
      <c r="G37" s="265" t="s">
        <v>47</v>
      </c>
      <c r="I37" s="266" t="s">
        <v>48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49</v>
      </c>
      <c r="B38" s="261">
        <v>50</v>
      </c>
      <c r="C38" s="267">
        <v>1</v>
      </c>
      <c r="D38" s="268">
        <v>308038</v>
      </c>
      <c r="E38" s="269">
        <f>IF(ISBLANK(D38),"-",$D$48/$D$45*D38)</f>
        <v>204412.23474918221</v>
      </c>
      <c r="F38" s="268">
        <v>264284</v>
      </c>
      <c r="G38" s="270">
        <f>IF(ISBLANK(F38),"-",$D$48/$F$45*F38)</f>
        <v>204814.19086481654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50</v>
      </c>
      <c r="B39" s="261">
        <v>3</v>
      </c>
      <c r="C39" s="272">
        <v>2</v>
      </c>
      <c r="D39" s="273">
        <v>308351</v>
      </c>
      <c r="E39" s="274">
        <f>IF(ISBLANK(D39),"-",$D$48/$D$45*D39)</f>
        <v>204619.9397384254</v>
      </c>
      <c r="F39" s="273">
        <v>267645</v>
      </c>
      <c r="G39" s="275">
        <f>IF(ISBLANK(F39),"-",$D$48/$F$45*F39)</f>
        <v>207418.89071610017</v>
      </c>
      <c r="I39" s="448">
        <f>ABS((F43/D43*D42)-F42)/D42</f>
        <v>8.6775199767397566E-3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51</v>
      </c>
      <c r="B40" s="261">
        <v>25</v>
      </c>
      <c r="C40" s="272">
        <v>3</v>
      </c>
      <c r="D40" s="273">
        <v>310028</v>
      </c>
      <c r="E40" s="274">
        <f>IF(ISBLANK(D40),"-",$D$48/$D$45*D40)</f>
        <v>205732.78723670283</v>
      </c>
      <c r="F40" s="273">
        <v>269378</v>
      </c>
      <c r="G40" s="275">
        <f>IF(ISBLANK(F40),"-",$D$48/$F$45*F40)</f>
        <v>208761.92696789268</v>
      </c>
      <c r="I40" s="448"/>
      <c r="L40" s="253"/>
      <c r="M40" s="253"/>
      <c r="N40" s="276"/>
    </row>
    <row r="41" spans="1:14" ht="27" customHeight="1" x14ac:dyDescent="0.4">
      <c r="A41" s="260" t="s">
        <v>52</v>
      </c>
      <c r="B41" s="261">
        <v>1</v>
      </c>
      <c r="C41" s="277">
        <v>4</v>
      </c>
      <c r="D41" s="278"/>
      <c r="E41" s="279" t="str">
        <f>IF(ISBLANK(D41),"-",$D$48/$D$45*D41)</f>
        <v>-</v>
      </c>
      <c r="F41" s="278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53</v>
      </c>
      <c r="B42" s="261">
        <v>1</v>
      </c>
      <c r="C42" s="282" t="s">
        <v>54</v>
      </c>
      <c r="D42" s="283">
        <f>AVERAGE(D38:D41)</f>
        <v>308805.66666666669</v>
      </c>
      <c r="E42" s="284">
        <f>AVERAGE(E38:E41)</f>
        <v>204921.65390810347</v>
      </c>
      <c r="F42" s="283">
        <f>AVERAGE(F38:F41)</f>
        <v>267102.33333333331</v>
      </c>
      <c r="G42" s="285">
        <f>AVERAGE(G38:G41)</f>
        <v>206998.33618293647</v>
      </c>
      <c r="H42" s="286"/>
    </row>
    <row r="43" spans="1:14" ht="26.25" customHeight="1" x14ac:dyDescent="0.4">
      <c r="A43" s="260" t="s">
        <v>55</v>
      </c>
      <c r="B43" s="261">
        <v>1</v>
      </c>
      <c r="C43" s="287" t="s">
        <v>56</v>
      </c>
      <c r="D43" s="288">
        <v>9.8800000000000008</v>
      </c>
      <c r="E43" s="276"/>
      <c r="F43" s="288">
        <v>8.4600000000000009</v>
      </c>
      <c r="H43" s="286"/>
    </row>
    <row r="44" spans="1:14" ht="26.25" customHeight="1" x14ac:dyDescent="0.4">
      <c r="A44" s="260" t="s">
        <v>57</v>
      </c>
      <c r="B44" s="261">
        <v>1</v>
      </c>
      <c r="C44" s="289" t="s">
        <v>58</v>
      </c>
      <c r="D44" s="290">
        <f>D43*$B$34</f>
        <v>9.8800000000000008</v>
      </c>
      <c r="E44" s="291"/>
      <c r="F44" s="290">
        <f>F43*$B$34</f>
        <v>8.4600000000000009</v>
      </c>
      <c r="H44" s="286"/>
    </row>
    <row r="45" spans="1:14" ht="19.5" customHeight="1" x14ac:dyDescent="0.3">
      <c r="A45" s="260" t="s">
        <v>59</v>
      </c>
      <c r="B45" s="292">
        <f>(B44/B43)*(B42/B41)*(B40/B39)*(B38/B37)*B36</f>
        <v>1041.6666666666667</v>
      </c>
      <c r="C45" s="289" t="s">
        <v>60</v>
      </c>
      <c r="D45" s="293">
        <f>D44*$B$30/100</f>
        <v>9.8108400000000007</v>
      </c>
      <c r="E45" s="294"/>
      <c r="F45" s="293">
        <f>F44*$B$30/100</f>
        <v>8.400780000000001</v>
      </c>
      <c r="H45" s="286"/>
    </row>
    <row r="46" spans="1:14" ht="19.5" customHeight="1" x14ac:dyDescent="0.3">
      <c r="A46" s="449" t="s">
        <v>61</v>
      </c>
      <c r="B46" s="450"/>
      <c r="C46" s="289" t="s">
        <v>62</v>
      </c>
      <c r="D46" s="295">
        <f>D45/$B$45</f>
        <v>9.4184063999999991E-3</v>
      </c>
      <c r="E46" s="296"/>
      <c r="F46" s="297">
        <f>F45/$B$45</f>
        <v>8.0647488000000003E-3</v>
      </c>
      <c r="H46" s="286"/>
    </row>
    <row r="47" spans="1:14" ht="27" customHeight="1" x14ac:dyDescent="0.4">
      <c r="A47" s="451"/>
      <c r="B47" s="452"/>
      <c r="C47" s="298" t="s">
        <v>63</v>
      </c>
      <c r="D47" s="299">
        <v>6.2500000000000003E-3</v>
      </c>
      <c r="E47" s="300"/>
      <c r="F47" s="296"/>
      <c r="H47" s="286"/>
    </row>
    <row r="48" spans="1:14" ht="18.75" x14ac:dyDescent="0.3">
      <c r="C48" s="301" t="s">
        <v>64</v>
      </c>
      <c r="D48" s="293">
        <f>D47*$B$45</f>
        <v>6.5104166666666679</v>
      </c>
      <c r="F48" s="302"/>
      <c r="H48" s="286"/>
    </row>
    <row r="49" spans="1:12" ht="19.5" customHeight="1" x14ac:dyDescent="0.3">
      <c r="C49" s="303" t="s">
        <v>65</v>
      </c>
      <c r="D49" s="304">
        <f>D48/B34</f>
        <v>6.5104166666666679</v>
      </c>
      <c r="F49" s="302"/>
      <c r="H49" s="286"/>
    </row>
    <row r="50" spans="1:12" ht="18.75" x14ac:dyDescent="0.3">
      <c r="C50" s="258" t="s">
        <v>66</v>
      </c>
      <c r="D50" s="305">
        <f>AVERAGE(E38:E41,G38:G41)</f>
        <v>205959.99504551999</v>
      </c>
      <c r="F50" s="306"/>
      <c r="H50" s="286"/>
    </row>
    <row r="51" spans="1:12" ht="18.75" x14ac:dyDescent="0.3">
      <c r="C51" s="260" t="s">
        <v>67</v>
      </c>
      <c r="D51" s="307">
        <f>STDEV(E38:E41,G38:G41)/D50</f>
        <v>8.5583048421297037E-3</v>
      </c>
      <c r="F51" s="306"/>
      <c r="H51" s="286"/>
    </row>
    <row r="52" spans="1:12" ht="19.5" customHeight="1" x14ac:dyDescent="0.3">
      <c r="C52" s="308" t="s">
        <v>8</v>
      </c>
      <c r="D52" s="309">
        <f>COUNT(E38:E41,G38:G41)</f>
        <v>6</v>
      </c>
      <c r="F52" s="306"/>
    </row>
    <row r="54" spans="1:12" ht="18.75" x14ac:dyDescent="0.3">
      <c r="A54" s="310" t="s">
        <v>0</v>
      </c>
      <c r="B54" s="311" t="s">
        <v>68</v>
      </c>
    </row>
    <row r="55" spans="1:12" ht="18.75" x14ac:dyDescent="0.3">
      <c r="A55" s="235" t="s">
        <v>69</v>
      </c>
      <c r="B55" s="312" t="str">
        <f>B21</f>
        <v>Each film-coated tablet contains Lopinavir 200 mg, Ritonavir 50 mg</v>
      </c>
    </row>
    <row r="56" spans="1:12" ht="26.25" customHeight="1" x14ac:dyDescent="0.4">
      <c r="A56" s="313" t="s">
        <v>70</v>
      </c>
      <c r="B56" s="314">
        <v>50</v>
      </c>
      <c r="C56" s="235" t="str">
        <f>B20</f>
        <v>Ritonavir 50mg</v>
      </c>
      <c r="H56" s="315"/>
    </row>
    <row r="57" spans="1:12" ht="18.75" x14ac:dyDescent="0.3">
      <c r="A57" s="312" t="s">
        <v>71</v>
      </c>
      <c r="B57" s="383">
        <f>Uniformity!C46</f>
        <v>1249.5715000000005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72</v>
      </c>
      <c r="B59" s="259">
        <v>100</v>
      </c>
      <c r="C59" s="235"/>
      <c r="D59" s="316" t="s">
        <v>73</v>
      </c>
      <c r="E59" s="317" t="s">
        <v>45</v>
      </c>
      <c r="F59" s="317" t="s">
        <v>46</v>
      </c>
      <c r="G59" s="317" t="s">
        <v>74</v>
      </c>
      <c r="H59" s="262" t="s">
        <v>75</v>
      </c>
      <c r="L59" s="248"/>
    </row>
    <row r="60" spans="1:12" s="3" customFormat="1" ht="26.25" customHeight="1" x14ac:dyDescent="0.4">
      <c r="A60" s="260" t="s">
        <v>76</v>
      </c>
      <c r="B60" s="261">
        <v>5</v>
      </c>
      <c r="C60" s="453" t="s">
        <v>77</v>
      </c>
      <c r="D60" s="456">
        <f>LOPINAVIR!D60</f>
        <v>1246.24</v>
      </c>
      <c r="E60" s="318">
        <v>1</v>
      </c>
      <c r="F60" s="319">
        <v>209740</v>
      </c>
      <c r="G60" s="384">
        <f>IF(ISBLANK(F60),"-",(F60/$D$50*$D$47*$B$68)*($B$57/$D$60))</f>
        <v>51.053770307135672</v>
      </c>
      <c r="H60" s="402">
        <f t="shared" ref="H60:H71" si="0">IF(ISBLANK(F60),"-",(G60/$B$56)*100)</f>
        <v>102.10754061427134</v>
      </c>
      <c r="L60" s="248"/>
    </row>
    <row r="61" spans="1:12" s="3" customFormat="1" ht="26.25" customHeight="1" x14ac:dyDescent="0.4">
      <c r="A61" s="260" t="s">
        <v>78</v>
      </c>
      <c r="B61" s="261">
        <v>100</v>
      </c>
      <c r="C61" s="454"/>
      <c r="D61" s="457"/>
      <c r="E61" s="320">
        <v>2</v>
      </c>
      <c r="F61" s="273">
        <v>211840</v>
      </c>
      <c r="G61" s="385">
        <f>IF(ISBLANK(F61),"-",(F61/$D$50*$D$47*$B$68)*($B$57/$D$60))</f>
        <v>51.564940888069131</v>
      </c>
      <c r="H61" s="403">
        <f t="shared" si="0"/>
        <v>103.12988177613826</v>
      </c>
      <c r="L61" s="248"/>
    </row>
    <row r="62" spans="1:12" s="3" customFormat="1" ht="26.25" customHeight="1" x14ac:dyDescent="0.4">
      <c r="A62" s="260" t="s">
        <v>79</v>
      </c>
      <c r="B62" s="261">
        <v>5</v>
      </c>
      <c r="C62" s="454"/>
      <c r="D62" s="457"/>
      <c r="E62" s="320">
        <v>3</v>
      </c>
      <c r="F62" s="321">
        <v>208961</v>
      </c>
      <c r="G62" s="385">
        <f>IF(ISBLANK(F62),"-",(F62/$D$50*$D$47*$B$68)*($B$57/$D$60))</f>
        <v>50.86415036306559</v>
      </c>
      <c r="H62" s="403">
        <f t="shared" si="0"/>
        <v>101.72830072613117</v>
      </c>
      <c r="L62" s="248"/>
    </row>
    <row r="63" spans="1:12" ht="27" customHeight="1" x14ac:dyDescent="0.4">
      <c r="A63" s="260" t="s">
        <v>80</v>
      </c>
      <c r="B63" s="261">
        <v>20</v>
      </c>
      <c r="C63" s="455"/>
      <c r="D63" s="458"/>
      <c r="E63" s="322">
        <v>4</v>
      </c>
      <c r="F63" s="323"/>
      <c r="G63" s="385" t="str">
        <f>IF(ISBLANK(F63),"-",(F63/$D$50*$D$47*$B$68)*($B$57/$D$60))</f>
        <v>-</v>
      </c>
      <c r="H63" s="403" t="str">
        <f t="shared" si="0"/>
        <v>-</v>
      </c>
    </row>
    <row r="64" spans="1:12" ht="26.25" customHeight="1" x14ac:dyDescent="0.4">
      <c r="A64" s="260" t="s">
        <v>81</v>
      </c>
      <c r="B64" s="261">
        <v>1</v>
      </c>
      <c r="C64" s="453" t="s">
        <v>82</v>
      </c>
      <c r="D64" s="456">
        <f>LOPINAVIR!D64</f>
        <v>1240.22</v>
      </c>
      <c r="E64" s="318">
        <v>1</v>
      </c>
      <c r="F64" s="319"/>
      <c r="G64" s="384" t="str">
        <f>IF(ISBLANK(F64),"-",(F64/$D$50*$D$47*$B$68)*($B$57/$D$64))</f>
        <v>-</v>
      </c>
      <c r="H64" s="402" t="str">
        <f t="shared" si="0"/>
        <v>-</v>
      </c>
    </row>
    <row r="65" spans="1:8" ht="26.25" customHeight="1" x14ac:dyDescent="0.4">
      <c r="A65" s="260" t="s">
        <v>83</v>
      </c>
      <c r="B65" s="261">
        <v>1</v>
      </c>
      <c r="C65" s="454"/>
      <c r="D65" s="457"/>
      <c r="E65" s="320">
        <v>2</v>
      </c>
      <c r="F65" s="273"/>
      <c r="G65" s="385" t="str">
        <f>IF(ISBLANK(F65),"-",(F65/$D$50*$D$47*$B$68)*($B$57/$D$64))</f>
        <v>-</v>
      </c>
      <c r="H65" s="403" t="str">
        <f t="shared" si="0"/>
        <v>-</v>
      </c>
    </row>
    <row r="66" spans="1:8" ht="26.25" customHeight="1" x14ac:dyDescent="0.4">
      <c r="A66" s="260" t="s">
        <v>84</v>
      </c>
      <c r="B66" s="261">
        <v>1</v>
      </c>
      <c r="C66" s="454"/>
      <c r="D66" s="457"/>
      <c r="E66" s="320">
        <v>3</v>
      </c>
      <c r="F66" s="273">
        <v>206723</v>
      </c>
      <c r="G66" s="385">
        <f>IF(ISBLANK(F66),"-",(F66/$D$50*$D$47*$B$68)*($B$57/$D$64))</f>
        <v>50.563637753485033</v>
      </c>
      <c r="H66" s="403">
        <f t="shared" si="0"/>
        <v>101.12727550697007</v>
      </c>
    </row>
    <row r="67" spans="1:8" ht="27" customHeight="1" x14ac:dyDescent="0.4">
      <c r="A67" s="260" t="s">
        <v>85</v>
      </c>
      <c r="B67" s="261">
        <v>1</v>
      </c>
      <c r="C67" s="455"/>
      <c r="D67" s="458"/>
      <c r="E67" s="322">
        <v>4</v>
      </c>
      <c r="F67" s="323"/>
      <c r="G67" s="401" t="str">
        <f>IF(ISBLANK(F67),"-",(F67/$D$50*$D$47*$B$68)*($B$57/$D$64))</f>
        <v>-</v>
      </c>
      <c r="H67" s="404" t="str">
        <f t="shared" si="0"/>
        <v>-</v>
      </c>
    </row>
    <row r="68" spans="1:8" ht="26.25" customHeight="1" x14ac:dyDescent="0.4">
      <c r="A68" s="260" t="s">
        <v>86</v>
      </c>
      <c r="B68" s="324">
        <f>(B67/B66)*(B65/B64)*(B63/B62)*(B61/B60)*B59</f>
        <v>8000</v>
      </c>
      <c r="C68" s="453" t="s">
        <v>87</v>
      </c>
      <c r="D68" s="456">
        <f>LOPINAVIR!D68</f>
        <v>1260.6099999999999</v>
      </c>
      <c r="E68" s="318">
        <v>1</v>
      </c>
      <c r="F68" s="319">
        <v>209566</v>
      </c>
      <c r="G68" s="384">
        <f>IF(ISBLANK(F68),"-",(F68/$D$50*$D$47*$B$68)*($B$57/$D$68))</f>
        <v>50.429924633151465</v>
      </c>
      <c r="H68" s="403">
        <f t="shared" si="0"/>
        <v>100.85984926630293</v>
      </c>
    </row>
    <row r="69" spans="1:8" ht="27" customHeight="1" x14ac:dyDescent="0.4">
      <c r="A69" s="308" t="s">
        <v>88</v>
      </c>
      <c r="B69" s="325">
        <f>(D47*B68)/B56*B57</f>
        <v>1249.5715000000005</v>
      </c>
      <c r="C69" s="454"/>
      <c r="D69" s="457"/>
      <c r="E69" s="320">
        <v>2</v>
      </c>
      <c r="F69" s="273">
        <v>208128</v>
      </c>
      <c r="G69" s="385">
        <f>IF(ISBLANK(F69),"-",(F69/$D$50*$D$47*$B$68)*($B$57/$D$68))</f>
        <v>50.083884571202148</v>
      </c>
      <c r="H69" s="403">
        <f t="shared" si="0"/>
        <v>100.16776914240431</v>
      </c>
    </row>
    <row r="70" spans="1:8" ht="26.25" customHeight="1" x14ac:dyDescent="0.4">
      <c r="A70" s="466" t="s">
        <v>61</v>
      </c>
      <c r="B70" s="467"/>
      <c r="C70" s="454"/>
      <c r="D70" s="457"/>
      <c r="E70" s="320">
        <v>3</v>
      </c>
      <c r="F70" s="273">
        <v>208363</v>
      </c>
      <c r="G70" s="385">
        <f>IF(ISBLANK(F70),"-",(F70/$D$50*$D$47*$B$68)*($B$57/$D$68))</f>
        <v>50.140434929031137</v>
      </c>
      <c r="H70" s="403">
        <f t="shared" si="0"/>
        <v>100.28086985806229</v>
      </c>
    </row>
    <row r="71" spans="1:8" ht="27" customHeight="1" x14ac:dyDescent="0.4">
      <c r="A71" s="468"/>
      <c r="B71" s="469"/>
      <c r="C71" s="465"/>
      <c r="D71" s="458"/>
      <c r="E71" s="322">
        <v>4</v>
      </c>
      <c r="F71" s="323"/>
      <c r="G71" s="401" t="str">
        <f>IF(ISBLANK(F71),"-",(F71/$D$50*$D$47*$B$68)*($B$57/$D$68))</f>
        <v>-</v>
      </c>
      <c r="H71" s="404" t="str">
        <f t="shared" si="0"/>
        <v>-</v>
      </c>
    </row>
    <row r="72" spans="1:8" ht="26.25" customHeight="1" x14ac:dyDescent="0.4">
      <c r="A72" s="326"/>
      <c r="B72" s="326"/>
      <c r="C72" s="326"/>
      <c r="D72" s="326"/>
      <c r="E72" s="326"/>
      <c r="F72" s="328" t="s">
        <v>54</v>
      </c>
      <c r="G72" s="390">
        <f>AVERAGE(G60:G71)</f>
        <v>50.67153477787717</v>
      </c>
      <c r="H72" s="405">
        <f>AVERAGE(H60:H71)</f>
        <v>101.34306955575434</v>
      </c>
    </row>
    <row r="73" spans="1:8" ht="26.25" customHeight="1" x14ac:dyDescent="0.4">
      <c r="C73" s="326"/>
      <c r="D73" s="326"/>
      <c r="E73" s="326"/>
      <c r="F73" s="329" t="s">
        <v>67</v>
      </c>
      <c r="G73" s="389">
        <f>STDEV(G60:G71)/G72</f>
        <v>1.0439010056083203E-2</v>
      </c>
      <c r="H73" s="389">
        <f>STDEV(H60:H71)/H72</f>
        <v>1.0439010056083147E-2</v>
      </c>
    </row>
    <row r="74" spans="1:8" ht="27" customHeight="1" x14ac:dyDescent="0.4">
      <c r="A74" s="326"/>
      <c r="B74" s="326"/>
      <c r="C74" s="327"/>
      <c r="D74" s="327"/>
      <c r="E74" s="330"/>
      <c r="F74" s="331" t="s">
        <v>8</v>
      </c>
      <c r="G74" s="332">
        <f>COUNT(G60:G71)</f>
        <v>7</v>
      </c>
      <c r="H74" s="332">
        <f>COUNT(H60:H71)</f>
        <v>7</v>
      </c>
    </row>
    <row r="76" spans="1:8" ht="26.25" customHeight="1" x14ac:dyDescent="0.4">
      <c r="A76" s="244" t="s">
        <v>89</v>
      </c>
      <c r="B76" s="333" t="s">
        <v>90</v>
      </c>
      <c r="C76" s="461" t="str">
        <f>B26</f>
        <v>Ritonavir</v>
      </c>
      <c r="D76" s="461"/>
      <c r="E76" s="334" t="s">
        <v>91</v>
      </c>
      <c r="F76" s="334"/>
      <c r="G76" s="335">
        <f>H72</f>
        <v>101.34306955575434</v>
      </c>
      <c r="H76" s="336"/>
    </row>
    <row r="77" spans="1:8" ht="18.75" x14ac:dyDescent="0.3">
      <c r="A77" s="243" t="s">
        <v>92</v>
      </c>
      <c r="B77" s="243" t="s">
        <v>93</v>
      </c>
    </row>
    <row r="78" spans="1:8" ht="18.75" x14ac:dyDescent="0.3">
      <c r="A78" s="243"/>
      <c r="B78" s="243"/>
    </row>
    <row r="79" spans="1:8" ht="26.25" customHeight="1" x14ac:dyDescent="0.4">
      <c r="A79" s="244" t="s">
        <v>1</v>
      </c>
      <c r="B79" s="447" t="str">
        <f>B26</f>
        <v>Ritonavir</v>
      </c>
      <c r="C79" s="447"/>
    </row>
    <row r="80" spans="1:8" ht="26.25" customHeight="1" x14ac:dyDescent="0.4">
      <c r="A80" s="245" t="s">
        <v>31</v>
      </c>
      <c r="B80" s="447" t="str">
        <f>B27</f>
        <v>R9 1</v>
      </c>
      <c r="C80" s="447"/>
    </row>
    <row r="81" spans="1:12" ht="27" customHeight="1" x14ac:dyDescent="0.4">
      <c r="A81" s="245" t="s">
        <v>3</v>
      </c>
      <c r="B81" s="337">
        <f>B28</f>
        <v>99.3</v>
      </c>
    </row>
    <row r="82" spans="1:12" s="3" customFormat="1" ht="27" customHeight="1" x14ac:dyDescent="0.4">
      <c r="A82" s="245" t="s">
        <v>32</v>
      </c>
      <c r="B82" s="247">
        <v>0</v>
      </c>
      <c r="C82" s="438" t="s">
        <v>33</v>
      </c>
      <c r="D82" s="439"/>
      <c r="E82" s="439"/>
      <c r="F82" s="439"/>
      <c r="G82" s="440"/>
      <c r="I82" s="248"/>
      <c r="J82" s="248"/>
      <c r="K82" s="248"/>
      <c r="L82" s="248"/>
    </row>
    <row r="83" spans="1:12" s="3" customFormat="1" ht="19.5" customHeight="1" x14ac:dyDescent="0.3">
      <c r="A83" s="245" t="s">
        <v>34</v>
      </c>
      <c r="B83" s="249">
        <f>B81-B82</f>
        <v>99.3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35</v>
      </c>
      <c r="B84" s="252">
        <v>1</v>
      </c>
      <c r="C84" s="441" t="s">
        <v>94</v>
      </c>
      <c r="D84" s="442"/>
      <c r="E84" s="442"/>
      <c r="F84" s="442"/>
      <c r="G84" s="442"/>
      <c r="H84" s="443"/>
      <c r="I84" s="248"/>
      <c r="J84" s="248"/>
      <c r="K84" s="248"/>
      <c r="L84" s="248"/>
    </row>
    <row r="85" spans="1:12" s="3" customFormat="1" ht="27" customHeight="1" x14ac:dyDescent="0.4">
      <c r="A85" s="245" t="s">
        <v>37</v>
      </c>
      <c r="B85" s="252">
        <v>1</v>
      </c>
      <c r="C85" s="441" t="s">
        <v>95</v>
      </c>
      <c r="D85" s="442"/>
      <c r="E85" s="442"/>
      <c r="F85" s="442"/>
      <c r="G85" s="442"/>
      <c r="H85" s="443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39</v>
      </c>
      <c r="B87" s="257">
        <f>B84/B85</f>
        <v>1</v>
      </c>
      <c r="C87" s="235" t="s">
        <v>40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41</v>
      </c>
      <c r="B89" s="259">
        <v>10</v>
      </c>
      <c r="D89" s="338" t="s">
        <v>42</v>
      </c>
      <c r="E89" s="339"/>
      <c r="F89" s="444" t="s">
        <v>43</v>
      </c>
      <c r="G89" s="446"/>
    </row>
    <row r="90" spans="1:12" ht="27" customHeight="1" x14ac:dyDescent="0.4">
      <c r="A90" s="260" t="s">
        <v>44</v>
      </c>
      <c r="B90" s="261">
        <v>1</v>
      </c>
      <c r="C90" s="340" t="s">
        <v>45</v>
      </c>
      <c r="D90" s="263" t="s">
        <v>46</v>
      </c>
      <c r="E90" s="264" t="s">
        <v>47</v>
      </c>
      <c r="F90" s="263" t="s">
        <v>46</v>
      </c>
      <c r="G90" s="341" t="s">
        <v>47</v>
      </c>
      <c r="I90" s="266" t="s">
        <v>48</v>
      </c>
    </row>
    <row r="91" spans="1:12" ht="26.25" customHeight="1" x14ac:dyDescent="0.4">
      <c r="A91" s="260" t="s">
        <v>49</v>
      </c>
      <c r="B91" s="261">
        <v>25</v>
      </c>
      <c r="C91" s="342">
        <v>1</v>
      </c>
      <c r="D91" s="268">
        <v>465309</v>
      </c>
      <c r="E91" s="269">
        <f>IF(ISBLANK(D91),"-",$D$101/$D$98*D91)</f>
        <v>329361.45121110929</v>
      </c>
      <c r="F91" s="268">
        <v>404374</v>
      </c>
      <c r="G91" s="270">
        <f>IF(ISBLANK(F91),"-",$D$101/$F$98*F91)</f>
        <v>334272.86249345622</v>
      </c>
      <c r="I91" s="271"/>
    </row>
    <row r="92" spans="1:12" ht="26.25" customHeight="1" x14ac:dyDescent="0.4">
      <c r="A92" s="260" t="s">
        <v>50</v>
      </c>
      <c r="B92" s="261">
        <v>1</v>
      </c>
      <c r="C92" s="327">
        <v>2</v>
      </c>
      <c r="D92" s="273">
        <v>469319</v>
      </c>
      <c r="E92" s="274">
        <f>IF(ISBLANK(D92),"-",$D$101/$D$98*D92)</f>
        <v>332199.86486602796</v>
      </c>
      <c r="F92" s="273">
        <v>405236</v>
      </c>
      <c r="G92" s="275">
        <f>IF(ISBLANK(F92),"-",$D$101/$F$98*F92)</f>
        <v>334985.42860173556</v>
      </c>
      <c r="I92" s="448">
        <f>ABS((F96/D96*D95)-F95)/D95</f>
        <v>1.1294809635826571E-2</v>
      </c>
    </row>
    <row r="93" spans="1:12" ht="26.25" customHeight="1" x14ac:dyDescent="0.4">
      <c r="A93" s="260" t="s">
        <v>51</v>
      </c>
      <c r="B93" s="261">
        <v>1</v>
      </c>
      <c r="C93" s="327">
        <v>3</v>
      </c>
      <c r="D93" s="273">
        <v>465713</v>
      </c>
      <c r="E93" s="274">
        <f>IF(ISBLANK(D93),"-",$D$101/$D$98*D93)</f>
        <v>329647.41607808863</v>
      </c>
      <c r="F93" s="273">
        <v>405284</v>
      </c>
      <c r="G93" s="275">
        <f>IF(ISBLANK(F93),"-",$D$101/$F$98*F93)</f>
        <v>335025.10745695297</v>
      </c>
      <c r="I93" s="448"/>
    </row>
    <row r="94" spans="1:12" ht="27" customHeight="1" x14ac:dyDescent="0.4">
      <c r="A94" s="260" t="s">
        <v>52</v>
      </c>
      <c r="B94" s="261">
        <v>1</v>
      </c>
      <c r="C94" s="343">
        <v>4</v>
      </c>
      <c r="D94" s="278"/>
      <c r="E94" s="279" t="str">
        <f>IF(ISBLANK(D94),"-",$D$101/$D$98*D94)</f>
        <v>-</v>
      </c>
      <c r="F94" s="344"/>
      <c r="G94" s="280" t="str">
        <f>IF(ISBLANK(F94),"-",$D$101/$F$98*F94)</f>
        <v>-</v>
      </c>
      <c r="I94" s="281"/>
    </row>
    <row r="95" spans="1:12" ht="27" customHeight="1" x14ac:dyDescent="0.4">
      <c r="A95" s="260" t="s">
        <v>53</v>
      </c>
      <c r="B95" s="261">
        <v>1</v>
      </c>
      <c r="C95" s="345" t="s">
        <v>54</v>
      </c>
      <c r="D95" s="346">
        <f>AVERAGE(D91:D94)</f>
        <v>466780.33333333331</v>
      </c>
      <c r="E95" s="284">
        <f>AVERAGE(E91:E94)</f>
        <v>330402.91071840865</v>
      </c>
      <c r="F95" s="347">
        <f>AVERAGE(F91:F94)</f>
        <v>404964.66666666669</v>
      </c>
      <c r="G95" s="348">
        <f>AVERAGE(G91:G94)</f>
        <v>334761.13285071496</v>
      </c>
    </row>
    <row r="96" spans="1:12" ht="26.25" customHeight="1" x14ac:dyDescent="0.4">
      <c r="A96" s="260" t="s">
        <v>55</v>
      </c>
      <c r="B96" s="246">
        <v>1</v>
      </c>
      <c r="C96" s="349" t="s">
        <v>96</v>
      </c>
      <c r="D96" s="350">
        <f>D43</f>
        <v>9.8800000000000008</v>
      </c>
      <c r="E96" s="276"/>
      <c r="F96" s="288">
        <f>F43</f>
        <v>8.4600000000000009</v>
      </c>
    </row>
    <row r="97" spans="1:10" ht="26.25" customHeight="1" x14ac:dyDescent="0.4">
      <c r="A97" s="260" t="s">
        <v>57</v>
      </c>
      <c r="B97" s="246">
        <v>1</v>
      </c>
      <c r="C97" s="351" t="s">
        <v>97</v>
      </c>
      <c r="D97" s="352">
        <f>D96*$B$87</f>
        <v>9.8800000000000008</v>
      </c>
      <c r="E97" s="291"/>
      <c r="F97" s="290">
        <f>F96*$B$87</f>
        <v>8.4600000000000009</v>
      </c>
    </row>
    <row r="98" spans="1:10" ht="19.5" customHeight="1" x14ac:dyDescent="0.3">
      <c r="A98" s="260" t="s">
        <v>59</v>
      </c>
      <c r="B98" s="353">
        <f>(B97/B96)*(B95/B94)*(B93/B92)*(B91/B90)*B89</f>
        <v>250</v>
      </c>
      <c r="C98" s="351" t="s">
        <v>98</v>
      </c>
      <c r="D98" s="354">
        <f>D97*$B$83/100</f>
        <v>9.8108400000000007</v>
      </c>
      <c r="E98" s="294"/>
      <c r="F98" s="293">
        <f>F97*$B$83/100</f>
        <v>8.400780000000001</v>
      </c>
    </row>
    <row r="99" spans="1:10" ht="19.5" customHeight="1" x14ac:dyDescent="0.3">
      <c r="A99" s="449" t="s">
        <v>61</v>
      </c>
      <c r="B99" s="463"/>
      <c r="C99" s="351" t="s">
        <v>99</v>
      </c>
      <c r="D99" s="355">
        <f>D98/$B$98</f>
        <v>3.9243360000000005E-2</v>
      </c>
      <c r="E99" s="294"/>
      <c r="F99" s="297">
        <f>F98/$B$98</f>
        <v>3.3603120000000007E-2</v>
      </c>
      <c r="G99" s="356"/>
      <c r="H99" s="286"/>
    </row>
    <row r="100" spans="1:10" ht="19.5" customHeight="1" x14ac:dyDescent="0.3">
      <c r="A100" s="451"/>
      <c r="B100" s="464"/>
      <c r="C100" s="351" t="s">
        <v>63</v>
      </c>
      <c r="D100" s="357">
        <f>$B$56/$B$116</f>
        <v>2.7777777777777776E-2</v>
      </c>
      <c r="F100" s="302"/>
      <c r="G100" s="358"/>
      <c r="H100" s="286"/>
    </row>
    <row r="101" spans="1:10" ht="18.75" x14ac:dyDescent="0.3">
      <c r="C101" s="351" t="s">
        <v>64</v>
      </c>
      <c r="D101" s="352">
        <f>D100*$B$98</f>
        <v>6.9444444444444438</v>
      </c>
      <c r="F101" s="302"/>
      <c r="G101" s="356"/>
      <c r="H101" s="286"/>
    </row>
    <row r="102" spans="1:10" ht="19.5" customHeight="1" x14ac:dyDescent="0.3">
      <c r="C102" s="359" t="s">
        <v>65</v>
      </c>
      <c r="D102" s="360">
        <f>D101/B34</f>
        <v>6.9444444444444438</v>
      </c>
      <c r="F102" s="306"/>
      <c r="G102" s="356"/>
      <c r="H102" s="286"/>
      <c r="J102" s="361"/>
    </row>
    <row r="103" spans="1:10" ht="18.75" x14ac:dyDescent="0.3">
      <c r="C103" s="362" t="s">
        <v>100</v>
      </c>
      <c r="D103" s="363">
        <f>AVERAGE(E91:E94,G91:G94)</f>
        <v>332582.02178456174</v>
      </c>
      <c r="F103" s="306"/>
      <c r="G103" s="364"/>
      <c r="H103" s="286"/>
      <c r="J103" s="365"/>
    </row>
    <row r="104" spans="1:10" ht="18.75" x14ac:dyDescent="0.3">
      <c r="C104" s="329" t="s">
        <v>67</v>
      </c>
      <c r="D104" s="366">
        <f>STDEV(E91:E94,G91:G94)/D103</f>
        <v>7.8099845064597802E-3</v>
      </c>
      <c r="F104" s="306"/>
      <c r="G104" s="356"/>
      <c r="H104" s="286"/>
      <c r="J104" s="365"/>
    </row>
    <row r="105" spans="1:10" ht="19.5" customHeight="1" x14ac:dyDescent="0.3">
      <c r="C105" s="331" t="s">
        <v>8</v>
      </c>
      <c r="D105" s="367">
        <f>COUNT(E91:E94,G91:G94)</f>
        <v>6</v>
      </c>
      <c r="F105" s="306"/>
      <c r="G105" s="356"/>
      <c r="H105" s="286"/>
      <c r="J105" s="365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7" customHeight="1" x14ac:dyDescent="0.4">
      <c r="A107" s="258" t="s">
        <v>101</v>
      </c>
      <c r="B107" s="259">
        <v>900</v>
      </c>
      <c r="C107" s="406" t="s">
        <v>102</v>
      </c>
      <c r="D107" s="406" t="s">
        <v>46</v>
      </c>
      <c r="E107" s="406" t="s">
        <v>103</v>
      </c>
      <c r="F107" s="368" t="s">
        <v>104</v>
      </c>
    </row>
    <row r="108" spans="1:10" ht="26.25" customHeight="1" x14ac:dyDescent="0.4">
      <c r="A108" s="260" t="s">
        <v>105</v>
      </c>
      <c r="B108" s="261">
        <v>5</v>
      </c>
      <c r="C108" s="411">
        <v>1</v>
      </c>
      <c r="D108" s="412">
        <v>315298</v>
      </c>
      <c r="E108" s="386">
        <f t="shared" ref="E108:E113" si="1">IF(ISBLANK(D108),"-",D108/$D$103*$D$100*$B$116)</f>
        <v>47.401539973234343</v>
      </c>
      <c r="F108" s="413">
        <f t="shared" ref="F108:F113" si="2">IF(ISBLANK(D108), "-", (E108/$B$56)*100)</f>
        <v>94.803079946468685</v>
      </c>
    </row>
    <row r="109" spans="1:10" ht="26.25" customHeight="1" x14ac:dyDescent="0.4">
      <c r="A109" s="260" t="s">
        <v>78</v>
      </c>
      <c r="B109" s="261">
        <v>10</v>
      </c>
      <c r="C109" s="407">
        <v>2</v>
      </c>
      <c r="D109" s="409">
        <v>309094</v>
      </c>
      <c r="E109" s="387">
        <f t="shared" si="1"/>
        <v>46.468837723318565</v>
      </c>
      <c r="F109" s="414">
        <f t="shared" si="2"/>
        <v>92.93767544663713</v>
      </c>
    </row>
    <row r="110" spans="1:10" ht="26.25" customHeight="1" x14ac:dyDescent="0.4">
      <c r="A110" s="260" t="s">
        <v>79</v>
      </c>
      <c r="B110" s="261">
        <v>1</v>
      </c>
      <c r="C110" s="407">
        <v>3</v>
      </c>
      <c r="D110" s="409">
        <v>308269</v>
      </c>
      <c r="E110" s="387">
        <f t="shared" si="1"/>
        <v>46.344808168808484</v>
      </c>
      <c r="F110" s="414">
        <f t="shared" si="2"/>
        <v>92.689616337616968</v>
      </c>
    </row>
    <row r="111" spans="1:10" ht="26.25" customHeight="1" x14ac:dyDescent="0.4">
      <c r="A111" s="260" t="s">
        <v>80</v>
      </c>
      <c r="B111" s="261">
        <v>1</v>
      </c>
      <c r="C111" s="407">
        <v>4</v>
      </c>
      <c r="D111" s="409">
        <v>308931</v>
      </c>
      <c r="E111" s="387">
        <f t="shared" si="1"/>
        <v>46.444332490124445</v>
      </c>
      <c r="F111" s="414">
        <f t="shared" si="2"/>
        <v>92.88866498024889</v>
      </c>
    </row>
    <row r="112" spans="1:10" ht="26.25" customHeight="1" x14ac:dyDescent="0.4">
      <c r="A112" s="260" t="s">
        <v>81</v>
      </c>
      <c r="B112" s="261">
        <v>1</v>
      </c>
      <c r="C112" s="407">
        <v>5</v>
      </c>
      <c r="D112" s="409">
        <v>309776</v>
      </c>
      <c r="E112" s="387">
        <f t="shared" si="1"/>
        <v>46.571368821713563</v>
      </c>
      <c r="F112" s="414">
        <f t="shared" si="2"/>
        <v>93.142737643427125</v>
      </c>
    </row>
    <row r="113" spans="1:10" ht="27" customHeight="1" x14ac:dyDescent="0.4">
      <c r="A113" s="260" t="s">
        <v>83</v>
      </c>
      <c r="B113" s="261">
        <v>1</v>
      </c>
      <c r="C113" s="408">
        <v>6</v>
      </c>
      <c r="D113" s="410">
        <v>308252</v>
      </c>
      <c r="E113" s="388">
        <f t="shared" si="1"/>
        <v>46.342252408291309</v>
      </c>
      <c r="F113" s="415">
        <f t="shared" si="2"/>
        <v>92.684504816582617</v>
      </c>
    </row>
    <row r="114" spans="1:10" ht="27" customHeight="1" x14ac:dyDescent="0.4">
      <c r="A114" s="260" t="s">
        <v>84</v>
      </c>
      <c r="B114" s="261">
        <v>1</v>
      </c>
      <c r="C114" s="369"/>
      <c r="D114" s="327"/>
      <c r="E114" s="234"/>
      <c r="F114" s="416"/>
    </row>
    <row r="115" spans="1:10" ht="26.25" customHeight="1" x14ac:dyDescent="0.4">
      <c r="A115" s="260" t="s">
        <v>85</v>
      </c>
      <c r="B115" s="261">
        <v>1</v>
      </c>
      <c r="C115" s="369"/>
      <c r="D115" s="393" t="s">
        <v>54</v>
      </c>
      <c r="E115" s="395">
        <f>AVERAGE(E108:E113)</f>
        <v>46.595523264248449</v>
      </c>
      <c r="F115" s="417">
        <f>AVERAGE(F108:F113)</f>
        <v>93.191046528496898</v>
      </c>
    </row>
    <row r="116" spans="1:10" ht="27" customHeight="1" x14ac:dyDescent="0.4">
      <c r="A116" s="260" t="s">
        <v>86</v>
      </c>
      <c r="B116" s="292">
        <f>(B115/B114)*(B113/B112)*(B111/B110)*(B109/B108)*B107</f>
        <v>1800</v>
      </c>
      <c r="C116" s="370"/>
      <c r="D116" s="394" t="s">
        <v>67</v>
      </c>
      <c r="E116" s="392">
        <f>STDEV(E108:E113)/E115</f>
        <v>8.6707774836567823E-3</v>
      </c>
      <c r="F116" s="371">
        <f>STDEV(F108:F113)/F115</f>
        <v>8.6707774836567823E-3</v>
      </c>
      <c r="I116" s="234"/>
    </row>
    <row r="117" spans="1:10" ht="27" customHeight="1" x14ac:dyDescent="0.4">
      <c r="A117" s="449" t="s">
        <v>61</v>
      </c>
      <c r="B117" s="450"/>
      <c r="C117" s="372"/>
      <c r="D117" s="331" t="s">
        <v>8</v>
      </c>
      <c r="E117" s="397">
        <f>COUNT(E108:E113)</f>
        <v>6</v>
      </c>
      <c r="F117" s="398">
        <f>COUNT(F108:F113)</f>
        <v>6</v>
      </c>
      <c r="I117" s="234"/>
      <c r="J117" s="365"/>
    </row>
    <row r="118" spans="1:10" ht="26.25" customHeight="1" x14ac:dyDescent="0.3">
      <c r="A118" s="451"/>
      <c r="B118" s="452"/>
      <c r="C118" s="234"/>
      <c r="D118" s="396"/>
      <c r="E118" s="429" t="s">
        <v>106</v>
      </c>
      <c r="F118" s="430"/>
      <c r="G118" s="234"/>
      <c r="H118" s="234"/>
      <c r="I118" s="234"/>
    </row>
    <row r="119" spans="1:10" ht="25.5" customHeight="1" x14ac:dyDescent="0.4">
      <c r="A119" s="381"/>
      <c r="B119" s="256"/>
      <c r="C119" s="234"/>
      <c r="D119" s="394" t="s">
        <v>107</v>
      </c>
      <c r="E119" s="399">
        <f>MIN(E108:E113)</f>
        <v>46.342252408291309</v>
      </c>
      <c r="F119" s="418">
        <f>MIN(F108:F113)</f>
        <v>92.684504816582617</v>
      </c>
      <c r="G119" s="234"/>
      <c r="H119" s="234"/>
      <c r="I119" s="234"/>
    </row>
    <row r="120" spans="1:10" ht="24" customHeight="1" x14ac:dyDescent="0.4">
      <c r="A120" s="381"/>
      <c r="B120" s="256"/>
      <c r="C120" s="234"/>
      <c r="D120" s="303" t="s">
        <v>108</v>
      </c>
      <c r="E120" s="400">
        <f>MAX(E108:E113)</f>
        <v>47.401539973234343</v>
      </c>
      <c r="F120" s="419">
        <f>MAX(F108:F113)</f>
        <v>94.803079946468685</v>
      </c>
      <c r="G120" s="234"/>
      <c r="H120" s="234"/>
      <c r="I120" s="234"/>
    </row>
    <row r="121" spans="1:10" ht="27" customHeight="1" x14ac:dyDescent="0.3">
      <c r="A121" s="381"/>
      <c r="B121" s="256"/>
      <c r="C121" s="234"/>
      <c r="D121" s="234"/>
      <c r="E121" s="234"/>
      <c r="F121" s="327"/>
      <c r="G121" s="234"/>
      <c r="H121" s="234"/>
      <c r="I121" s="234"/>
    </row>
    <row r="122" spans="1:10" ht="25.5" customHeight="1" x14ac:dyDescent="0.3">
      <c r="A122" s="381"/>
      <c r="B122" s="256"/>
      <c r="C122" s="234"/>
      <c r="D122" s="234"/>
      <c r="E122" s="234"/>
      <c r="F122" s="327"/>
      <c r="G122" s="234"/>
      <c r="H122" s="234"/>
      <c r="I122" s="234"/>
    </row>
    <row r="123" spans="1:10" ht="18.75" x14ac:dyDescent="0.3">
      <c r="A123" s="381"/>
      <c r="B123" s="256"/>
      <c r="C123" s="234"/>
      <c r="D123" s="234"/>
      <c r="E123" s="234"/>
      <c r="F123" s="327"/>
      <c r="G123" s="234"/>
      <c r="H123" s="234"/>
      <c r="I123" s="234"/>
    </row>
    <row r="124" spans="1:10" ht="45.75" customHeight="1" x14ac:dyDescent="0.65">
      <c r="A124" s="244" t="s">
        <v>89</v>
      </c>
      <c r="B124" s="333" t="s">
        <v>109</v>
      </c>
      <c r="C124" s="461" t="str">
        <f>B26</f>
        <v>Ritonavir</v>
      </c>
      <c r="D124" s="461"/>
      <c r="E124" s="334" t="s">
        <v>110</v>
      </c>
      <c r="F124" s="334"/>
      <c r="G124" s="420">
        <f>F115</f>
        <v>93.191046528496898</v>
      </c>
      <c r="H124" s="234"/>
      <c r="I124" s="234"/>
    </row>
    <row r="125" spans="1:10" ht="45.75" customHeight="1" x14ac:dyDescent="0.65">
      <c r="A125" s="244"/>
      <c r="B125" s="333" t="s">
        <v>111</v>
      </c>
      <c r="C125" s="245" t="s">
        <v>112</v>
      </c>
      <c r="D125" s="420">
        <f>MIN(F108:F113)</f>
        <v>92.684504816582617</v>
      </c>
      <c r="E125" s="345" t="s">
        <v>113</v>
      </c>
      <c r="F125" s="420">
        <f>MAX(F108:F113)</f>
        <v>94.803079946468685</v>
      </c>
      <c r="G125" s="335"/>
      <c r="H125" s="234"/>
      <c r="I125" s="234"/>
    </row>
    <row r="126" spans="1:10" ht="19.5" customHeight="1" x14ac:dyDescent="0.3">
      <c r="A126" s="373"/>
      <c r="B126" s="373"/>
      <c r="C126" s="374"/>
      <c r="D126" s="374"/>
      <c r="E126" s="374"/>
      <c r="F126" s="374"/>
      <c r="G126" s="374"/>
      <c r="H126" s="374"/>
    </row>
    <row r="127" spans="1:10" ht="18.75" x14ac:dyDescent="0.3">
      <c r="B127" s="462" t="s">
        <v>9</v>
      </c>
      <c r="C127" s="462"/>
      <c r="E127" s="340" t="s">
        <v>10</v>
      </c>
      <c r="F127" s="375"/>
      <c r="G127" s="462" t="s">
        <v>11</v>
      </c>
      <c r="H127" s="462"/>
    </row>
    <row r="128" spans="1:10" ht="69.95" customHeight="1" x14ac:dyDescent="0.3">
      <c r="A128" s="376" t="s">
        <v>12</v>
      </c>
      <c r="B128" s="377"/>
      <c r="C128" s="377"/>
      <c r="E128" s="377"/>
      <c r="F128" s="234"/>
      <c r="G128" s="378"/>
      <c r="H128" s="378"/>
    </row>
    <row r="129" spans="1:9" ht="69.95" customHeight="1" x14ac:dyDescent="0.3">
      <c r="A129" s="376" t="s">
        <v>13</v>
      </c>
      <c r="B129" s="379"/>
      <c r="C129" s="379"/>
      <c r="E129" s="379"/>
      <c r="F129" s="234"/>
      <c r="G129" s="380"/>
      <c r="H129" s="380"/>
    </row>
    <row r="130" spans="1:9" ht="18.75" x14ac:dyDescent="0.3">
      <c r="A130" s="326"/>
      <c r="B130" s="326"/>
      <c r="C130" s="327"/>
      <c r="D130" s="327"/>
      <c r="E130" s="327"/>
      <c r="F130" s="330"/>
      <c r="G130" s="327"/>
      <c r="H130" s="327"/>
      <c r="I130" s="234"/>
    </row>
    <row r="131" spans="1:9" ht="18.75" x14ac:dyDescent="0.3">
      <c r="A131" s="326"/>
      <c r="B131" s="326"/>
      <c r="C131" s="327"/>
      <c r="D131" s="327"/>
      <c r="E131" s="327"/>
      <c r="F131" s="330"/>
      <c r="G131" s="327"/>
      <c r="H131" s="327"/>
      <c r="I131" s="234"/>
    </row>
    <row r="132" spans="1:9" ht="18.75" x14ac:dyDescent="0.3">
      <c r="A132" s="326"/>
      <c r="B132" s="326"/>
      <c r="C132" s="327"/>
      <c r="D132" s="327"/>
      <c r="E132" s="327"/>
      <c r="F132" s="330"/>
      <c r="G132" s="327"/>
      <c r="H132" s="327"/>
      <c r="I132" s="234"/>
    </row>
    <row r="133" spans="1:9" ht="18.75" x14ac:dyDescent="0.3">
      <c r="A133" s="326"/>
      <c r="B133" s="326"/>
      <c r="C133" s="327"/>
      <c r="D133" s="327"/>
      <c r="E133" s="327"/>
      <c r="F133" s="330"/>
      <c r="G133" s="327"/>
      <c r="H133" s="327"/>
      <c r="I133" s="234"/>
    </row>
    <row r="134" spans="1:9" ht="18.75" x14ac:dyDescent="0.3">
      <c r="A134" s="326"/>
      <c r="B134" s="326"/>
      <c r="C134" s="327"/>
      <c r="D134" s="327"/>
      <c r="E134" s="327"/>
      <c r="F134" s="330"/>
      <c r="G134" s="327"/>
      <c r="H134" s="327"/>
      <c r="I134" s="234"/>
    </row>
    <row r="135" spans="1:9" ht="18.75" x14ac:dyDescent="0.3">
      <c r="A135" s="326"/>
      <c r="B135" s="326"/>
      <c r="C135" s="327"/>
      <c r="D135" s="327"/>
      <c r="E135" s="327"/>
      <c r="F135" s="330"/>
      <c r="G135" s="327"/>
      <c r="H135" s="327"/>
      <c r="I135" s="234"/>
    </row>
    <row r="136" spans="1:9" ht="18.75" x14ac:dyDescent="0.3">
      <c r="A136" s="326"/>
      <c r="B136" s="326"/>
      <c r="C136" s="327"/>
      <c r="D136" s="327"/>
      <c r="E136" s="327"/>
      <c r="F136" s="330"/>
      <c r="G136" s="327"/>
      <c r="H136" s="327"/>
      <c r="I136" s="234"/>
    </row>
    <row r="137" spans="1:9" ht="18.75" x14ac:dyDescent="0.3">
      <c r="A137" s="326"/>
      <c r="B137" s="326"/>
      <c r="C137" s="327"/>
      <c r="D137" s="327"/>
      <c r="E137" s="327"/>
      <c r="F137" s="330"/>
      <c r="G137" s="327"/>
      <c r="H137" s="327"/>
      <c r="I137" s="234"/>
    </row>
    <row r="138" spans="1:9" ht="18.75" x14ac:dyDescent="0.3">
      <c r="A138" s="326"/>
      <c r="B138" s="326"/>
      <c r="C138" s="327"/>
      <c r="D138" s="327"/>
      <c r="E138" s="327"/>
      <c r="F138" s="330"/>
      <c r="G138" s="327"/>
      <c r="H138" s="327"/>
      <c r="I138" s="23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LOPINAVIR</vt:lpstr>
      <vt:lpstr>RITONAVIR</vt:lpstr>
      <vt:lpstr>LOPINAVIR!Print_Area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2016-12-20T16:33:59Z</cp:lastPrinted>
  <dcterms:created xsi:type="dcterms:W3CDTF">2005-07-05T10:19:27Z</dcterms:created>
  <dcterms:modified xsi:type="dcterms:W3CDTF">2016-12-20T16:49:24Z</dcterms:modified>
</cp:coreProperties>
</file>