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Uniformity" sheetId="2" r:id="rId1"/>
    <sheet name="SST Lopinavir" sheetId="5" r:id="rId2"/>
    <sheet name="SST Ritonavir" sheetId="1" r:id="rId3"/>
    <sheet name="Lopinavir" sheetId="3" r:id="rId4"/>
    <sheet name="Ritonavir" sheetId="4" r:id="rId5"/>
  </sheets>
  <definedNames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B21" i="5" l="1"/>
  <c r="E30" i="5"/>
  <c r="C30" i="5"/>
  <c r="B21" i="1"/>
  <c r="B53" i="5"/>
  <c r="E51" i="5"/>
  <c r="D51" i="5"/>
  <c r="C51" i="5"/>
  <c r="B51" i="5"/>
  <c r="B52" i="5" s="1"/>
  <c r="B32" i="5"/>
  <c r="D30" i="5"/>
  <c r="B30" i="5"/>
  <c r="B31" i="5" s="1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C19" i="2"/>
  <c r="B53" i="1"/>
  <c r="F51" i="1"/>
  <c r="D51" i="1"/>
  <c r="C51" i="1"/>
  <c r="B51" i="1"/>
  <c r="B52" i="1" s="1"/>
  <c r="B32" i="1"/>
  <c r="F30" i="1"/>
  <c r="D30" i="1"/>
  <c r="C30" i="1"/>
  <c r="B30" i="1"/>
  <c r="B31" i="1" s="1"/>
  <c r="I92" i="3" l="1"/>
  <c r="I92" i="4"/>
  <c r="I39" i="4"/>
  <c r="D101" i="3"/>
  <c r="D102" i="3" s="1"/>
  <c r="D97" i="3"/>
  <c r="D98" i="3" s="1"/>
  <c r="D101" i="4"/>
  <c r="D102" i="4" s="1"/>
  <c r="F44" i="4"/>
  <c r="F45" i="4" s="1"/>
  <c r="F46" i="4" s="1"/>
  <c r="D45" i="4"/>
  <c r="E40" i="4" s="1"/>
  <c r="I39" i="3"/>
  <c r="D49" i="3"/>
  <c r="F98" i="3"/>
  <c r="D45" i="3"/>
  <c r="D46" i="3" s="1"/>
  <c r="B69" i="4"/>
  <c r="F98" i="4"/>
  <c r="F99" i="4" s="1"/>
  <c r="D25" i="2"/>
  <c r="D29" i="2"/>
  <c r="D37" i="2"/>
  <c r="D41" i="2"/>
  <c r="C50" i="2"/>
  <c r="D27" i="2"/>
  <c r="D31" i="2"/>
  <c r="D35" i="2"/>
  <c r="D39" i="2"/>
  <c r="D43" i="2"/>
  <c r="C49" i="2"/>
  <c r="F44" i="3"/>
  <c r="F45" i="3" s="1"/>
  <c r="D97" i="4"/>
  <c r="D98" i="4" s="1"/>
  <c r="D99" i="4" s="1"/>
  <c r="D33" i="2"/>
  <c r="D24" i="2"/>
  <c r="D28" i="2"/>
  <c r="D32" i="2"/>
  <c r="D36" i="2"/>
  <c r="D40" i="2"/>
  <c r="D49" i="2"/>
  <c r="B57" i="3"/>
  <c r="B69" i="3" s="1"/>
  <c r="D49" i="4"/>
  <c r="D26" i="2"/>
  <c r="D30" i="2"/>
  <c r="D34" i="2"/>
  <c r="D38" i="2"/>
  <c r="D42" i="2"/>
  <c r="B49" i="2"/>
  <c r="D50" i="2"/>
  <c r="E39" i="3" l="1"/>
  <c r="E38" i="3"/>
  <c r="G94" i="3"/>
  <c r="G93" i="3"/>
  <c r="G91" i="3"/>
  <c r="G92" i="3"/>
  <c r="F99" i="3"/>
  <c r="E94" i="4"/>
  <c r="E91" i="4"/>
  <c r="D46" i="4"/>
  <c r="G38" i="4"/>
  <c r="G41" i="4"/>
  <c r="E38" i="4"/>
  <c r="E39" i="4"/>
  <c r="E41" i="4"/>
  <c r="E92" i="4"/>
  <c r="G39" i="4"/>
  <c r="G40" i="4"/>
  <c r="E93" i="4"/>
  <c r="G92" i="4"/>
  <c r="E41" i="3"/>
  <c r="E40" i="3"/>
  <c r="E42" i="3" s="1"/>
  <c r="F46" i="3"/>
  <c r="G41" i="3"/>
  <c r="G39" i="3"/>
  <c r="G40" i="3"/>
  <c r="G91" i="4"/>
  <c r="G93" i="4"/>
  <c r="G94" i="4"/>
  <c r="D99" i="3"/>
  <c r="E93" i="3"/>
  <c r="G38" i="3"/>
  <c r="E92" i="3"/>
  <c r="E91" i="3"/>
  <c r="E94" i="3"/>
  <c r="G95" i="3" l="1"/>
  <c r="E95" i="4"/>
  <c r="G95" i="4"/>
  <c r="D103" i="4"/>
  <c r="E111" i="4" s="1"/>
  <c r="F111" i="4" s="1"/>
  <c r="E42" i="4"/>
  <c r="D50" i="4"/>
  <c r="G67" i="4" s="1"/>
  <c r="H67" i="4" s="1"/>
  <c r="D52" i="4"/>
  <c r="G42" i="4"/>
  <c r="D105" i="4"/>
  <c r="D50" i="3"/>
  <c r="G68" i="3" s="1"/>
  <c r="H68" i="3" s="1"/>
  <c r="G42" i="3"/>
  <c r="D52" i="3"/>
  <c r="E95" i="3"/>
  <c r="D105" i="3"/>
  <c r="D103" i="3"/>
  <c r="E113" i="4"/>
  <c r="F113" i="4" s="1"/>
  <c r="E112" i="4" l="1"/>
  <c r="F112" i="4" s="1"/>
  <c r="D104" i="4"/>
  <c r="E108" i="4"/>
  <c r="E109" i="4"/>
  <c r="F109" i="4" s="1"/>
  <c r="E110" i="4"/>
  <c r="F110" i="4" s="1"/>
  <c r="D51" i="4"/>
  <c r="G61" i="4"/>
  <c r="H61" i="4" s="1"/>
  <c r="G71" i="4"/>
  <c r="H71" i="4" s="1"/>
  <c r="G62" i="4"/>
  <c r="H62" i="4" s="1"/>
  <c r="G66" i="4"/>
  <c r="H66" i="4" s="1"/>
  <c r="G68" i="4"/>
  <c r="H68" i="4" s="1"/>
  <c r="G65" i="4"/>
  <c r="H65" i="4" s="1"/>
  <c r="G64" i="4"/>
  <c r="H64" i="4" s="1"/>
  <c r="G63" i="4"/>
  <c r="H63" i="4" s="1"/>
  <c r="G70" i="4"/>
  <c r="H70" i="4" s="1"/>
  <c r="G60" i="4"/>
  <c r="H60" i="4" s="1"/>
  <c r="G69" i="4"/>
  <c r="H69" i="4" s="1"/>
  <c r="G65" i="3"/>
  <c r="H65" i="3" s="1"/>
  <c r="G67" i="3"/>
  <c r="H67" i="3" s="1"/>
  <c r="G66" i="3"/>
  <c r="H66" i="3" s="1"/>
  <c r="G64" i="3"/>
  <c r="H64" i="3" s="1"/>
  <c r="G69" i="3"/>
  <c r="H69" i="3" s="1"/>
  <c r="G71" i="3"/>
  <c r="H71" i="3" s="1"/>
  <c r="G61" i="3"/>
  <c r="H61" i="3" s="1"/>
  <c r="G70" i="3"/>
  <c r="H70" i="3" s="1"/>
  <c r="D51" i="3"/>
  <c r="G60" i="3"/>
  <c r="H60" i="3" s="1"/>
  <c r="G63" i="3"/>
  <c r="H63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5" i="4" l="1"/>
  <c r="E116" i="4" s="1"/>
  <c r="E120" i="4"/>
  <c r="E119" i="4"/>
  <c r="E117" i="4"/>
  <c r="F108" i="4"/>
  <c r="F117" i="4" s="1"/>
  <c r="G72" i="4"/>
  <c r="G73" i="4" s="1"/>
  <c r="G74" i="4"/>
  <c r="G72" i="3"/>
  <c r="G73" i="3" s="1"/>
  <c r="G74" i="3"/>
  <c r="H74" i="4"/>
  <c r="H72" i="4"/>
  <c r="E115" i="3"/>
  <c r="E116" i="3" s="1"/>
  <c r="E119" i="3"/>
  <c r="E120" i="3"/>
  <c r="E117" i="3"/>
  <c r="F108" i="3"/>
  <c r="H74" i="3"/>
  <c r="H72" i="3"/>
  <c r="F119" i="4" l="1"/>
  <c r="F120" i="4"/>
  <c r="D125" i="4"/>
  <c r="F115" i="4"/>
  <c r="G124" i="4" s="1"/>
  <c r="F125" i="4"/>
  <c r="F119" i="3"/>
  <c r="F125" i="3"/>
  <c r="F120" i="3"/>
  <c r="F117" i="3"/>
  <c r="D125" i="3"/>
  <c r="F115" i="3"/>
  <c r="G76" i="3"/>
  <c r="H73" i="3"/>
  <c r="G76" i="4"/>
  <c r="H73" i="4"/>
  <c r="F116" i="4" l="1"/>
  <c r="G124" i="3"/>
  <c r="F116" i="3"/>
</calcChain>
</file>

<file path=xl/sharedStrings.xml><?xml version="1.0" encoding="utf-8"?>
<sst xmlns="http://schemas.openxmlformats.org/spreadsheetml/2006/main" count="452" uniqueCount="138">
  <si>
    <t>HPLC System Suitability Report</t>
  </si>
  <si>
    <t>Analysis Data</t>
  </si>
  <si>
    <t>Assay</t>
  </si>
  <si>
    <t>Sample(s)</t>
  </si>
  <si>
    <t>Reference Substance:</t>
  </si>
  <si>
    <t>LOPINAVIR/ RITONAVIR TABLETS</t>
  </si>
  <si>
    <t>% age Purity:</t>
  </si>
  <si>
    <t>NDQB201611218r1</t>
  </si>
  <si>
    <t>Weight (mg):</t>
  </si>
  <si>
    <t>Lopinavir 200mg &amp; Ritonavir 50mg</t>
  </si>
  <si>
    <t>Standard Conc (mg/mL):</t>
  </si>
  <si>
    <t>Each film-coated tablet contains Lopinavir 200 mg, Ritonavir 50 mg</t>
  </si>
  <si>
    <t>2016-11-09 10:53:12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</si>
  <si>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</si>
  <si>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</si>
  <si>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</si>
  <si>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</si>
  <si>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</si>
  <si>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</si>
  <si>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</si>
  <si>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</si>
  <si>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</si>
  <si>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</si>
  <si>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</si>
  <si>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</si>
  <si>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</si>
  <si>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</si>
  <si>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</si>
  <si>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</si>
  <si>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</si>
  <si>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</si>
  <si>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</si>
  <si>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</si>
  <si>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</si>
  <si>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</si>
  <si>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</si>
  <si>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</si>
  <si>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</si>
  <si>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</si>
  <si>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</si>
  <si>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</si>
  <si>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</si>
  <si>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</si>
  <si>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</si>
  <si>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</si>
  <si>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</si>
  <si>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</si>
  <si>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</si>
  <si>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</si>
  <si>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</si>
  <si>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</si>
  <si>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</si>
  <si>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</si>
  <si>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</si>
  <si>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</si>
  <si>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</si>
  <si>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</si>
  <si>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</si>
  <si>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</si>
  <si>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</si>
  <si>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</si>
  <si>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</si>
  <si>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</si>
  <si>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</si>
  <si>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</si>
  <si>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</si>
  <si>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</si>
  <si>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</si>
  <si>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</si>
  <si>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</si>
  <si>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</si>
  <si>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</si>
  <si>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</si>
  <si>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</si>
  <si>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</si>
  <si>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</si>
  <si>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</si>
  <si>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</si>
  <si>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</si>
  <si>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</si>
  <si>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</si>
  <si>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</si>
  <si>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</si>
  <si>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</si>
  <si>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</si>
  <si>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</si>
  <si>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</si>
  <si>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</si>
  <si>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</si>
  <si>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</si>
  <si>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</si>
  <si>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</si>
  <si>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</si>
  <si>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</si>
  <si>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</si>
  <si>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</si>
  <si>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</si>
  <si>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</si>
  <si>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</si>
  <si>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</si>
  <si>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</si>
  <si>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</si>
  <si>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</si>
  <si>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</si>
  <si>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</si>
  <si>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</si>
  <si>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</si>
  <si>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</si>
  <si>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</si>
  <si>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</si>
  <si>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</si>
  <si>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</si>
  <si>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</si>
  <si>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</si>
  <si>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</si>
  <si>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</si>
  <si>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</si>
  <si>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</si>
  <si>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</si>
  <si>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</si>
  <si>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</si>
  <si>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</si>
  <si>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</si>
  <si>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</si>
  <si>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</si>
  <si>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</si>
  <si>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</si>
  <si>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</si>
  <si>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</si>
  <si>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</si>
  <si>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</si>
  <si>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Lopinavir </t>
  </si>
  <si>
    <t>L20-2</t>
  </si>
  <si>
    <t xml:space="preserve">Ritonavir </t>
  </si>
  <si>
    <t>R14-2</t>
  </si>
  <si>
    <t>Resolution(USP)</t>
  </si>
  <si>
    <r>
      <t xml:space="preserve">The Resolution between the peaks of Lopinavir and Ritonavir is </t>
    </r>
    <r>
      <rPr>
        <b/>
        <sz val="12"/>
        <color rgb="FF000000"/>
        <rFont val="Book Antiqua"/>
        <family val="1"/>
      </rPr>
      <t>NLT 2</t>
    </r>
  </si>
  <si>
    <t>The Resolution between the peaks of Lopinavir and Ritonavir is NLT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</si>
</sst>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10" fontId="2" fillId="2" borderId="0" xfId="0" applyNumberFormat="1" applyFont="1" applyFill="1" applyBorder="1"/>
    <xf numFmtId="0" fontId="26" fillId="2" borderId="0" xfId="0" applyFont="1" applyFill="1"/>
    <xf numFmtId="0" fontId="25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80" t="s">
        <v>31</v>
      </c>
      <c r="B11" s="481"/>
      <c r="C11" s="481"/>
      <c r="D11" s="481"/>
      <c r="E11" s="481"/>
      <c r="F11" s="482"/>
      <c r="G11" s="91"/>
    </row>
    <row r="12" spans="1:7" ht="16.5" customHeight="1" x14ac:dyDescent="0.3">
      <c r="A12" s="479" t="s">
        <v>32</v>
      </c>
      <c r="B12" s="479"/>
      <c r="C12" s="479"/>
      <c r="D12" s="479"/>
      <c r="E12" s="479"/>
      <c r="F12" s="479"/>
      <c r="G12" s="90"/>
    </row>
    <row r="14" spans="1:7" ht="16.5" customHeight="1" x14ac:dyDescent="0.3">
      <c r="A14" s="484" t="s">
        <v>33</v>
      </c>
      <c r="B14" s="484"/>
      <c r="C14" s="60" t="s">
        <v>5</v>
      </c>
    </row>
    <row r="15" spans="1:7" ht="16.5" customHeight="1" x14ac:dyDescent="0.3">
      <c r="A15" s="484" t="s">
        <v>34</v>
      </c>
      <c r="B15" s="484"/>
      <c r="C15" s="60" t="s">
        <v>7</v>
      </c>
    </row>
    <row r="16" spans="1:7" ht="16.5" customHeight="1" x14ac:dyDescent="0.3">
      <c r="A16" s="484" t="s">
        <v>35</v>
      </c>
      <c r="B16" s="484"/>
      <c r="C16" s="60" t="s">
        <v>9</v>
      </c>
    </row>
    <row r="17" spans="1:5" ht="16.5" customHeight="1" x14ac:dyDescent="0.3">
      <c r="A17" s="484" t="s">
        <v>36</v>
      </c>
      <c r="B17" s="484"/>
      <c r="C17" s="60" t="s">
        <v>11</v>
      </c>
    </row>
    <row r="18" spans="1:5" ht="16.5" customHeight="1" x14ac:dyDescent="0.3">
      <c r="A18" s="484" t="s">
        <v>37</v>
      </c>
      <c r="B18" s="484"/>
      <c r="C18" s="97" t="s">
        <v>12</v>
      </c>
    </row>
    <row r="19" spans="1:5" ht="16.5" customHeight="1" x14ac:dyDescent="0.3">
      <c r="A19" s="484" t="s">
        <v>38</v>
      </c>
      <c r="B19" s="48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9" t="s">
        <v>1</v>
      </c>
      <c r="B21" s="479"/>
      <c r="C21" s="59" t="s">
        <v>39</v>
      </c>
      <c r="D21" s="66"/>
    </row>
    <row r="22" spans="1:5" ht="15.75" customHeight="1" x14ac:dyDescent="0.3">
      <c r="A22" s="483"/>
      <c r="B22" s="483"/>
      <c r="C22" s="57"/>
      <c r="D22" s="483"/>
      <c r="E22" s="48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1264.76</v>
      </c>
      <c r="D24" s="87">
        <f t="shared" ref="D24:D43" si="0">(C24-$C$46)/$C$46</f>
        <v>4.9114934030733198E-3</v>
      </c>
      <c r="E24" s="53"/>
    </row>
    <row r="25" spans="1:5" ht="15.75" customHeight="1" x14ac:dyDescent="0.3">
      <c r="C25" s="95">
        <v>1266.97</v>
      </c>
      <c r="D25" s="88">
        <f t="shared" si="0"/>
        <v>6.6674426744139917E-3</v>
      </c>
      <c r="E25" s="53"/>
    </row>
    <row r="26" spans="1:5" ht="15.75" customHeight="1" x14ac:dyDescent="0.3">
      <c r="C26" s="95">
        <v>1230.8599999999999</v>
      </c>
      <c r="D26" s="88">
        <f t="shared" si="0"/>
        <v>-2.2023656053237979E-2</v>
      </c>
      <c r="E26" s="53"/>
    </row>
    <row r="27" spans="1:5" ht="15.75" customHeight="1" x14ac:dyDescent="0.3">
      <c r="C27" s="95">
        <v>1238.5899999999999</v>
      </c>
      <c r="D27" s="88">
        <f t="shared" si="0"/>
        <v>-1.5881806339453724E-2</v>
      </c>
      <c r="E27" s="53"/>
    </row>
    <row r="28" spans="1:5" ht="15.75" customHeight="1" x14ac:dyDescent="0.3">
      <c r="C28" s="95">
        <v>1272.79</v>
      </c>
      <c r="D28" s="88">
        <f t="shared" si="0"/>
        <v>1.1291707271338169E-2</v>
      </c>
      <c r="E28" s="53"/>
    </row>
    <row r="29" spans="1:5" ht="15.75" customHeight="1" x14ac:dyDescent="0.3">
      <c r="C29" s="95">
        <v>1264.68</v>
      </c>
      <c r="D29" s="88">
        <f t="shared" si="0"/>
        <v>4.8479296285452098E-3</v>
      </c>
      <c r="E29" s="53"/>
    </row>
    <row r="30" spans="1:5" ht="15.75" customHeight="1" x14ac:dyDescent="0.3">
      <c r="C30" s="95">
        <v>1256.02</v>
      </c>
      <c r="D30" s="88">
        <f t="shared" si="0"/>
        <v>-2.0328489641290508E-3</v>
      </c>
      <c r="E30" s="53"/>
    </row>
    <row r="31" spans="1:5" ht="15.75" customHeight="1" x14ac:dyDescent="0.3">
      <c r="C31" s="95">
        <v>1231.44</v>
      </c>
      <c r="D31" s="88">
        <f t="shared" si="0"/>
        <v>-2.1562818687908637E-2</v>
      </c>
      <c r="E31" s="53"/>
    </row>
    <row r="32" spans="1:5" ht="15.75" customHeight="1" x14ac:dyDescent="0.3">
      <c r="C32" s="95">
        <v>1256.3599999999999</v>
      </c>
      <c r="D32" s="88">
        <f t="shared" si="0"/>
        <v>-1.7627029223844014E-3</v>
      </c>
      <c r="E32" s="53"/>
    </row>
    <row r="33" spans="1:7" ht="15.75" customHeight="1" x14ac:dyDescent="0.3">
      <c r="C33" s="95">
        <v>1261.69</v>
      </c>
      <c r="D33" s="88">
        <f t="shared" si="0"/>
        <v>2.4722335555549201E-3</v>
      </c>
      <c r="E33" s="53"/>
    </row>
    <row r="34" spans="1:7" ht="15.75" customHeight="1" x14ac:dyDescent="0.3">
      <c r="C34" s="95">
        <v>1246.0999999999999</v>
      </c>
      <c r="D34" s="88">
        <f t="shared" si="0"/>
        <v>-9.9147570056219506E-3</v>
      </c>
      <c r="E34" s="53"/>
    </row>
    <row r="35" spans="1:7" ht="15.75" customHeight="1" x14ac:dyDescent="0.3">
      <c r="C35" s="95">
        <v>1248.08</v>
      </c>
      <c r="D35" s="88">
        <f t="shared" si="0"/>
        <v>-8.3415535860497762E-3</v>
      </c>
      <c r="E35" s="53"/>
    </row>
    <row r="36" spans="1:7" ht="15.75" customHeight="1" x14ac:dyDescent="0.3">
      <c r="C36" s="95">
        <v>1277.8699999999999</v>
      </c>
      <c r="D36" s="88">
        <f t="shared" si="0"/>
        <v>1.5328006953876785E-2</v>
      </c>
      <c r="E36" s="53"/>
    </row>
    <row r="37" spans="1:7" ht="15.75" customHeight="1" x14ac:dyDescent="0.3">
      <c r="C37" s="95">
        <v>1275.53</v>
      </c>
      <c r="D37" s="88">
        <f t="shared" si="0"/>
        <v>1.3468766548927934E-2</v>
      </c>
      <c r="E37" s="53"/>
    </row>
    <row r="38" spans="1:7" ht="15.75" customHeight="1" x14ac:dyDescent="0.3">
      <c r="C38" s="95">
        <v>1252.9000000000001</v>
      </c>
      <c r="D38" s="88">
        <f t="shared" si="0"/>
        <v>-4.5118361707275189E-3</v>
      </c>
      <c r="E38" s="53"/>
    </row>
    <row r="39" spans="1:7" ht="15.75" customHeight="1" x14ac:dyDescent="0.3">
      <c r="C39" s="95">
        <v>1276.8699999999999</v>
      </c>
      <c r="D39" s="88">
        <f t="shared" si="0"/>
        <v>1.4533459772274684E-2</v>
      </c>
      <c r="E39" s="53"/>
    </row>
    <row r="40" spans="1:7" ht="15.75" customHeight="1" x14ac:dyDescent="0.3">
      <c r="C40" s="95">
        <v>1271.1500000000001</v>
      </c>
      <c r="D40" s="88">
        <f t="shared" si="0"/>
        <v>9.9886498935108248E-3</v>
      </c>
      <c r="E40" s="53"/>
    </row>
    <row r="41" spans="1:7" ht="15.75" customHeight="1" x14ac:dyDescent="0.3">
      <c r="C41" s="95">
        <v>1243.9100000000001</v>
      </c>
      <c r="D41" s="88">
        <f t="shared" si="0"/>
        <v>-1.1654815333330414E-2</v>
      </c>
      <c r="E41" s="53"/>
    </row>
    <row r="42" spans="1:7" ht="15.75" customHeight="1" x14ac:dyDescent="0.3">
      <c r="C42" s="95">
        <v>1284.96</v>
      </c>
      <c r="D42" s="88">
        <f t="shared" si="0"/>
        <v>2.0961346471435795E-2</v>
      </c>
      <c r="E42" s="53"/>
    </row>
    <row r="43" spans="1:7" ht="16.5" customHeight="1" x14ac:dyDescent="0.3">
      <c r="C43" s="96">
        <v>1250.04</v>
      </c>
      <c r="D43" s="89">
        <f t="shared" si="0"/>
        <v>-6.7842411101096296E-3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25171.570000000003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1258.5785000000001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7">
        <f>C46</f>
        <v>1258.5785000000001</v>
      </c>
      <c r="C49" s="93">
        <f>-IF(C46&lt;=80,10%,IF(C46&lt;250,7.5%,5%))</f>
        <v>-0.05</v>
      </c>
      <c r="D49" s="81">
        <f>IF(C46&lt;=80,C46*0.9,IF(C46&lt;250,C46*0.925,C46*0.95))</f>
        <v>1195.6495749999999</v>
      </c>
    </row>
    <row r="50" spans="1:6" ht="17.25" customHeight="1" x14ac:dyDescent="0.3">
      <c r="B50" s="478"/>
      <c r="C50" s="94">
        <f>IF(C46&lt;=80, 10%, IF(C46&lt;250, 7.5%, 5%))</f>
        <v>0.05</v>
      </c>
      <c r="D50" s="81">
        <f>IF(C46&lt;=80, C46*1.1, IF(C46&lt;250, C46*1.075, C46*1.05))</f>
        <v>1321.5074250000002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21" sqref="B21"/>
    </sheetView>
  </sheetViews>
  <sheetFormatPr defaultRowHeight="13.5" x14ac:dyDescent="0.25"/>
  <cols>
    <col min="1" max="1" width="27.5703125" style="407" customWidth="1"/>
    <col min="2" max="2" width="20.42578125" style="407" customWidth="1"/>
    <col min="3" max="3" width="31.85546875" style="407" customWidth="1"/>
    <col min="4" max="4" width="25.85546875" style="407" customWidth="1"/>
    <col min="5" max="5" width="25.7109375" style="407" customWidth="1"/>
    <col min="6" max="6" width="23.140625" style="407" customWidth="1"/>
    <col min="7" max="7" width="28.42578125" style="407" customWidth="1"/>
    <col min="8" max="8" width="21.5703125" style="407" customWidth="1"/>
    <col min="9" max="9" width="9.140625" style="40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5" t="s">
        <v>0</v>
      </c>
      <c r="B15" s="475"/>
      <c r="C15" s="475"/>
      <c r="D15" s="475"/>
      <c r="E15" s="475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131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99.8</v>
      </c>
      <c r="C19" s="72"/>
      <c r="D19" s="72"/>
      <c r="E19" s="72"/>
    </row>
    <row r="20" spans="1:5" ht="16.5" customHeight="1" x14ac:dyDescent="0.3">
      <c r="A20" s="8" t="s">
        <v>8</v>
      </c>
      <c r="B20" s="12">
        <v>18.07</v>
      </c>
      <c r="C20" s="72"/>
      <c r="D20" s="72"/>
      <c r="E20" s="72"/>
    </row>
    <row r="21" spans="1:5" ht="16.5" customHeight="1" x14ac:dyDescent="0.3">
      <c r="A21" s="8" t="s">
        <v>10</v>
      </c>
      <c r="B21" s="13">
        <f>18.07/20</f>
        <v>0.90349999999999997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53706861</v>
      </c>
      <c r="C24" s="18">
        <v>3728.77</v>
      </c>
      <c r="D24" s="19">
        <v>0.85</v>
      </c>
      <c r="E24" s="20">
        <v>5.57</v>
      </c>
    </row>
    <row r="25" spans="1:5" ht="16.5" customHeight="1" x14ac:dyDescent="0.3">
      <c r="A25" s="17">
        <v>2</v>
      </c>
      <c r="B25" s="18">
        <v>53910884</v>
      </c>
      <c r="C25" s="18">
        <v>3712.96</v>
      </c>
      <c r="D25" s="19">
        <v>0.84</v>
      </c>
      <c r="E25" s="19">
        <v>5.58</v>
      </c>
    </row>
    <row r="26" spans="1:5" ht="16.5" customHeight="1" x14ac:dyDescent="0.3">
      <c r="A26" s="17">
        <v>3</v>
      </c>
      <c r="B26" s="18">
        <v>53911233</v>
      </c>
      <c r="C26" s="18">
        <v>3680.94</v>
      </c>
      <c r="D26" s="19">
        <v>0.85</v>
      </c>
      <c r="E26" s="19">
        <v>5.58</v>
      </c>
    </row>
    <row r="27" spans="1:5" ht="16.5" customHeight="1" x14ac:dyDescent="0.3">
      <c r="A27" s="17">
        <v>4</v>
      </c>
      <c r="B27" s="18">
        <v>53921585</v>
      </c>
      <c r="C27" s="18">
        <v>3687.73</v>
      </c>
      <c r="D27" s="19">
        <v>0.84</v>
      </c>
      <c r="E27" s="19">
        <v>5.58</v>
      </c>
    </row>
    <row r="28" spans="1:5" ht="16.5" customHeight="1" x14ac:dyDescent="0.3">
      <c r="A28" s="17">
        <v>5</v>
      </c>
      <c r="B28" s="18">
        <v>53913907</v>
      </c>
      <c r="C28" s="18">
        <v>3702.09</v>
      </c>
      <c r="D28" s="19">
        <v>0.84</v>
      </c>
      <c r="E28" s="19">
        <v>5.58</v>
      </c>
    </row>
    <row r="29" spans="1:5" ht="16.5" customHeight="1" x14ac:dyDescent="0.3">
      <c r="A29" s="17">
        <v>6</v>
      </c>
      <c r="B29" s="21">
        <v>53848158</v>
      </c>
      <c r="C29" s="21">
        <v>3718.53</v>
      </c>
      <c r="D29" s="22">
        <v>0.85</v>
      </c>
      <c r="E29" s="22">
        <v>5.58</v>
      </c>
    </row>
    <row r="30" spans="1:5" ht="16.5" customHeight="1" x14ac:dyDescent="0.3">
      <c r="A30" s="23" t="s">
        <v>18</v>
      </c>
      <c r="B30" s="24">
        <f>AVERAGE(B24:B29)</f>
        <v>53868771.333333336</v>
      </c>
      <c r="C30" s="25">
        <f>AVERAGE(C24:C29)</f>
        <v>3705.1699999999996</v>
      </c>
      <c r="D30" s="26">
        <f>AVERAGE(D24:D29)</f>
        <v>0.84499999999999986</v>
      </c>
      <c r="E30" s="26">
        <f>AVERAGE(E24:E29)</f>
        <v>5.5783333333333331</v>
      </c>
    </row>
    <row r="31" spans="1:5" ht="16.5" customHeight="1" x14ac:dyDescent="0.3">
      <c r="A31" s="27" t="s">
        <v>19</v>
      </c>
      <c r="B31" s="28">
        <f>(STDEV(B24:B29)/B30)</f>
        <v>1.554095203672127E-3</v>
      </c>
      <c r="C31" s="29"/>
      <c r="D31" s="29"/>
      <c r="E31" s="30"/>
    </row>
    <row r="32" spans="1:5" s="407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7" customFormat="1" ht="15.75" customHeight="1" x14ac:dyDescent="0.25">
      <c r="A33" s="72"/>
      <c r="B33" s="72"/>
      <c r="C33" s="72"/>
      <c r="D33" s="72"/>
      <c r="E33" s="72"/>
    </row>
    <row r="34" spans="1:5" s="407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3">
      <c r="A37" s="72"/>
      <c r="B37" s="473" t="s">
        <v>136</v>
      </c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07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07" customFormat="1" ht="15.75" customHeight="1" x14ac:dyDescent="0.25">
      <c r="A54" s="72"/>
      <c r="B54" s="72"/>
      <c r="C54" s="72"/>
      <c r="D54" s="72"/>
      <c r="E54" s="72"/>
    </row>
    <row r="55" spans="1:7" s="407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7"/>
      <c r="D58" s="43"/>
      <c r="F58" s="44"/>
      <c r="G58" s="44"/>
    </row>
    <row r="59" spans="1:7" ht="15" customHeight="1" x14ac:dyDescent="0.3">
      <c r="B59" s="476" t="s">
        <v>26</v>
      </c>
      <c r="C59" s="47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abSelected="1" topLeftCell="A14" workbookViewId="0">
      <selection activeCell="B21" sqref="B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85546875" style="407" customWidth="1"/>
    <col min="6" max="6" width="25.7109375" style="4" customWidth="1"/>
    <col min="7" max="7" width="23.140625" style="4" customWidth="1"/>
    <col min="8" max="8" width="28.42578125" style="4" customWidth="1"/>
    <col min="9" max="9" width="21.5703125" style="4" customWidth="1"/>
    <col min="10" max="10" width="9.140625" style="4" customWidth="1"/>
  </cols>
  <sheetData>
    <row r="14" spans="1:7" ht="15" customHeight="1" x14ac:dyDescent="0.3">
      <c r="A14" s="1"/>
      <c r="B14" s="2"/>
      <c r="C14" s="3"/>
      <c r="D14" s="2"/>
      <c r="G14" s="3"/>
    </row>
    <row r="15" spans="1:7" ht="18.75" customHeight="1" x14ac:dyDescent="0.3">
      <c r="A15" s="475" t="s">
        <v>0</v>
      </c>
      <c r="B15" s="475"/>
      <c r="C15" s="475"/>
      <c r="D15" s="475"/>
      <c r="E15" s="475"/>
      <c r="F15" s="475"/>
    </row>
    <row r="16" spans="1:7" ht="16.5" customHeight="1" x14ac:dyDescent="0.3">
      <c r="A16" s="5" t="s">
        <v>1</v>
      </c>
      <c r="B16" s="6" t="s">
        <v>2</v>
      </c>
    </row>
    <row r="17" spans="1:7" ht="16.5" customHeight="1" x14ac:dyDescent="0.3">
      <c r="A17" s="7" t="s">
        <v>3</v>
      </c>
      <c r="B17" s="8" t="s">
        <v>5</v>
      </c>
      <c r="D17" s="9"/>
      <c r="E17" s="9"/>
      <c r="F17" s="10"/>
    </row>
    <row r="18" spans="1:7" ht="16.5" customHeight="1" x14ac:dyDescent="0.3">
      <c r="A18" s="11" t="s">
        <v>4</v>
      </c>
      <c r="B18" s="8" t="s">
        <v>133</v>
      </c>
      <c r="C18" s="10"/>
      <c r="D18" s="10"/>
      <c r="E18" s="72"/>
      <c r="F18" s="10"/>
    </row>
    <row r="19" spans="1:7" ht="16.5" customHeight="1" x14ac:dyDescent="0.3">
      <c r="A19" s="11" t="s">
        <v>6</v>
      </c>
      <c r="B19" s="12">
        <v>99.4</v>
      </c>
      <c r="C19" s="10"/>
      <c r="D19" s="10"/>
      <c r="E19" s="72"/>
      <c r="F19" s="10"/>
    </row>
    <row r="20" spans="1:7" ht="16.5" customHeight="1" x14ac:dyDescent="0.3">
      <c r="A20" s="7" t="s">
        <v>8</v>
      </c>
      <c r="B20" s="12">
        <v>11.16</v>
      </c>
      <c r="C20" s="10"/>
      <c r="D20" s="10"/>
      <c r="E20" s="72"/>
      <c r="F20" s="10"/>
    </row>
    <row r="21" spans="1:7" ht="16.5" customHeight="1" x14ac:dyDescent="0.3">
      <c r="A21" s="7" t="s">
        <v>10</v>
      </c>
      <c r="B21" s="13">
        <f>11.16/25*10/20</f>
        <v>0.22320000000000001</v>
      </c>
      <c r="C21" s="10"/>
      <c r="D21" s="10"/>
      <c r="E21" s="72"/>
      <c r="F21" s="10"/>
    </row>
    <row r="22" spans="1:7" ht="15.75" customHeight="1" x14ac:dyDescent="0.25">
      <c r="A22" s="10"/>
      <c r="B22" s="10"/>
      <c r="C22" s="10"/>
      <c r="D22" s="10"/>
      <c r="E22" s="72"/>
      <c r="F22" s="10"/>
    </row>
    <row r="23" spans="1:7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135</v>
      </c>
      <c r="F23" s="16" t="s">
        <v>17</v>
      </c>
    </row>
    <row r="24" spans="1:7" ht="16.5" customHeight="1" x14ac:dyDescent="0.3">
      <c r="A24" s="17">
        <v>1</v>
      </c>
      <c r="B24" s="18">
        <v>12884223</v>
      </c>
      <c r="C24" s="18">
        <v>5225.71</v>
      </c>
      <c r="D24" s="19">
        <v>0.95</v>
      </c>
      <c r="E24" s="19">
        <v>4.74</v>
      </c>
      <c r="F24" s="20">
        <v>7.41</v>
      </c>
    </row>
    <row r="25" spans="1:7" ht="16.5" customHeight="1" x14ac:dyDescent="0.3">
      <c r="A25" s="17">
        <v>2</v>
      </c>
      <c r="B25" s="18">
        <v>12919354</v>
      </c>
      <c r="C25" s="18">
        <v>5215.75</v>
      </c>
      <c r="D25" s="19">
        <v>0.94</v>
      </c>
      <c r="E25" s="19">
        <v>4.74</v>
      </c>
      <c r="F25" s="19">
        <v>7.42</v>
      </c>
    </row>
    <row r="26" spans="1:7" ht="16.5" customHeight="1" x14ac:dyDescent="0.3">
      <c r="A26" s="17">
        <v>3</v>
      </c>
      <c r="B26" s="18">
        <v>12906755</v>
      </c>
      <c r="C26" s="18">
        <v>5234.66</v>
      </c>
      <c r="D26" s="19">
        <v>0.95</v>
      </c>
      <c r="E26" s="19">
        <v>4.72</v>
      </c>
      <c r="F26" s="19">
        <v>7.41</v>
      </c>
    </row>
    <row r="27" spans="1:7" ht="16.5" customHeight="1" x14ac:dyDescent="0.3">
      <c r="A27" s="17">
        <v>4</v>
      </c>
      <c r="B27" s="18">
        <v>12908685</v>
      </c>
      <c r="C27" s="18">
        <v>5245.42</v>
      </c>
      <c r="D27" s="19">
        <v>0.94</v>
      </c>
      <c r="E27" s="19">
        <v>4.72</v>
      </c>
      <c r="F27" s="19">
        <v>7.41</v>
      </c>
    </row>
    <row r="28" spans="1:7" ht="16.5" customHeight="1" x14ac:dyDescent="0.3">
      <c r="A28" s="17">
        <v>5</v>
      </c>
      <c r="B28" s="18">
        <v>12886016</v>
      </c>
      <c r="C28" s="18">
        <v>5257.3</v>
      </c>
      <c r="D28" s="19">
        <v>0.94</v>
      </c>
      <c r="E28" s="19">
        <v>4.7300000000000004</v>
      </c>
      <c r="F28" s="19">
        <v>7.42</v>
      </c>
    </row>
    <row r="29" spans="1:7" ht="16.5" customHeight="1" x14ac:dyDescent="0.3">
      <c r="A29" s="17">
        <v>6</v>
      </c>
      <c r="B29" s="21">
        <v>12893026</v>
      </c>
      <c r="C29" s="21">
        <v>5264.49</v>
      </c>
      <c r="D29" s="22">
        <v>0.94</v>
      </c>
      <c r="E29" s="22">
        <v>4.74</v>
      </c>
      <c r="F29" s="22">
        <v>7.41</v>
      </c>
    </row>
    <row r="30" spans="1:7" ht="16.5" customHeight="1" x14ac:dyDescent="0.3">
      <c r="A30" s="23" t="s">
        <v>18</v>
      </c>
      <c r="B30" s="24">
        <f>AVERAGE(B24:B29)</f>
        <v>12899676.5</v>
      </c>
      <c r="C30" s="25">
        <f>AVERAGE(C24:C29)</f>
        <v>5240.5550000000003</v>
      </c>
      <c r="D30" s="26">
        <f>AVERAGE(D24:D29)</f>
        <v>0.94333333333333336</v>
      </c>
      <c r="E30" s="26">
        <v>4.7300000000000004</v>
      </c>
      <c r="F30" s="26">
        <f>AVERAGE(F24:F29)</f>
        <v>7.413333333333334</v>
      </c>
    </row>
    <row r="31" spans="1:7" ht="16.5" customHeight="1" x14ac:dyDescent="0.3">
      <c r="A31" s="27" t="s">
        <v>19</v>
      </c>
      <c r="B31" s="28">
        <f>(STDEV(B24:B29)/B30)</f>
        <v>1.0897807058350294E-3</v>
      </c>
      <c r="C31" s="29"/>
      <c r="D31" s="29"/>
      <c r="E31" s="29"/>
      <c r="F31" s="30"/>
      <c r="G31" s="2"/>
    </row>
    <row r="32" spans="1:7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73"/>
      <c r="F32" s="35"/>
    </row>
    <row r="33" spans="1:7" s="2" customFormat="1" ht="15.75" customHeight="1" x14ac:dyDescent="0.25">
      <c r="A33" s="10"/>
      <c r="B33" s="10"/>
      <c r="C33" s="10"/>
      <c r="D33" s="10"/>
      <c r="E33" s="72"/>
      <c r="F33" s="36"/>
    </row>
    <row r="34" spans="1:7" s="2" customFormat="1" ht="16.5" customHeight="1" x14ac:dyDescent="0.3">
      <c r="A34" s="11" t="s">
        <v>21</v>
      </c>
      <c r="B34" s="37" t="s">
        <v>22</v>
      </c>
      <c r="C34" s="38"/>
      <c r="D34" s="38"/>
      <c r="E34" s="39"/>
      <c r="F34" s="39"/>
    </row>
    <row r="35" spans="1:7" ht="16.5" customHeight="1" x14ac:dyDescent="0.3">
      <c r="A35" s="11"/>
      <c r="B35" s="37" t="s">
        <v>23</v>
      </c>
      <c r="C35" s="38"/>
      <c r="D35" s="38"/>
      <c r="E35" s="39"/>
      <c r="F35" s="39"/>
      <c r="G35" s="2"/>
    </row>
    <row r="36" spans="1:7" ht="16.5" customHeight="1" x14ac:dyDescent="0.3">
      <c r="A36" s="11"/>
      <c r="B36" s="40" t="s">
        <v>24</v>
      </c>
      <c r="C36" s="38"/>
      <c r="D36" s="38"/>
      <c r="E36" s="39"/>
      <c r="F36" s="38"/>
    </row>
    <row r="37" spans="1:7" ht="15.75" customHeight="1" x14ac:dyDescent="0.25">
      <c r="A37" s="10"/>
      <c r="B37" s="10" t="s">
        <v>137</v>
      </c>
      <c r="C37" s="10"/>
      <c r="D37" s="10"/>
      <c r="E37" s="72"/>
      <c r="F37" s="10"/>
    </row>
    <row r="38" spans="1:7" ht="16.5" customHeight="1" x14ac:dyDescent="0.3">
      <c r="A38" s="5" t="s">
        <v>1</v>
      </c>
      <c r="B38" s="6" t="s">
        <v>25</v>
      </c>
    </row>
    <row r="39" spans="1:7" ht="16.5" customHeight="1" x14ac:dyDescent="0.3">
      <c r="A39" s="11" t="s">
        <v>4</v>
      </c>
      <c r="B39" s="8"/>
      <c r="C39" s="10"/>
      <c r="D39" s="10"/>
      <c r="E39" s="72"/>
      <c r="F39" s="10"/>
    </row>
    <row r="40" spans="1:7" ht="16.5" customHeight="1" x14ac:dyDescent="0.3">
      <c r="A40" s="11" t="s">
        <v>6</v>
      </c>
      <c r="B40" s="12"/>
      <c r="C40" s="10"/>
      <c r="D40" s="10"/>
      <c r="E40" s="72"/>
      <c r="F40" s="10"/>
    </row>
    <row r="41" spans="1:7" ht="16.5" customHeight="1" x14ac:dyDescent="0.3">
      <c r="A41" s="7" t="s">
        <v>8</v>
      </c>
      <c r="B41" s="12"/>
      <c r="C41" s="10"/>
      <c r="D41" s="10"/>
      <c r="E41" s="72"/>
      <c r="F41" s="10"/>
    </row>
    <row r="42" spans="1:7" ht="16.5" customHeight="1" x14ac:dyDescent="0.3">
      <c r="A42" s="7" t="s">
        <v>10</v>
      </c>
      <c r="B42" s="13"/>
      <c r="C42" s="10"/>
      <c r="D42" s="10"/>
      <c r="E42" s="72"/>
      <c r="F42" s="10"/>
    </row>
    <row r="43" spans="1:7" ht="15.75" customHeight="1" x14ac:dyDescent="0.25">
      <c r="A43" s="10"/>
      <c r="B43" s="10"/>
      <c r="C43" s="10"/>
      <c r="D43" s="10"/>
      <c r="E43" s="72"/>
      <c r="F43" s="10"/>
    </row>
    <row r="44" spans="1:7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474" t="s">
        <v>135</v>
      </c>
      <c r="F44" s="16" t="s">
        <v>17</v>
      </c>
    </row>
    <row r="45" spans="1:7" ht="16.5" customHeight="1" x14ac:dyDescent="0.3">
      <c r="A45" s="17">
        <v>1</v>
      </c>
      <c r="B45" s="18"/>
      <c r="C45" s="18"/>
      <c r="D45" s="19"/>
      <c r="E45" s="19"/>
      <c r="F45" s="20"/>
    </row>
    <row r="46" spans="1:7" ht="16.5" customHeight="1" x14ac:dyDescent="0.3">
      <c r="A46" s="17">
        <v>2</v>
      </c>
      <c r="B46" s="18"/>
      <c r="C46" s="18"/>
      <c r="D46" s="19"/>
      <c r="E46" s="19"/>
      <c r="F46" s="19"/>
    </row>
    <row r="47" spans="1:7" ht="16.5" customHeight="1" x14ac:dyDescent="0.3">
      <c r="A47" s="17">
        <v>3</v>
      </c>
      <c r="B47" s="18"/>
      <c r="C47" s="18"/>
      <c r="D47" s="19"/>
      <c r="E47" s="19"/>
      <c r="F47" s="19"/>
    </row>
    <row r="48" spans="1:7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/>
      <c r="F51" s="26" t="e">
        <f>AVERAGE(F45:F50)</f>
        <v>#DIV/0!</v>
      </c>
    </row>
    <row r="52" spans="1:8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29"/>
      <c r="F52" s="30"/>
      <c r="G52" s="2"/>
    </row>
    <row r="53" spans="1:8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73"/>
      <c r="F53" s="35"/>
    </row>
    <row r="54" spans="1:8" s="2" customFormat="1" ht="15.75" customHeight="1" x14ac:dyDescent="0.25">
      <c r="A54" s="10"/>
      <c r="B54" s="10"/>
      <c r="C54" s="10"/>
      <c r="D54" s="10"/>
      <c r="E54" s="72"/>
      <c r="F54" s="36"/>
    </row>
    <row r="55" spans="1:8" s="2" customFormat="1" ht="16.5" customHeight="1" x14ac:dyDescent="0.3">
      <c r="A55" s="11" t="s">
        <v>21</v>
      </c>
      <c r="B55" s="37" t="s">
        <v>22</v>
      </c>
      <c r="C55" s="38"/>
      <c r="D55" s="38"/>
      <c r="E55" s="39"/>
      <c r="F55" s="39"/>
    </row>
    <row r="56" spans="1:8" ht="16.5" customHeight="1" x14ac:dyDescent="0.3">
      <c r="A56" s="11"/>
      <c r="B56" s="37" t="s">
        <v>23</v>
      </c>
      <c r="C56" s="38"/>
      <c r="D56" s="38"/>
      <c r="E56" s="39"/>
      <c r="F56" s="39"/>
      <c r="G56" s="2"/>
    </row>
    <row r="57" spans="1:8" ht="16.5" customHeight="1" x14ac:dyDescent="0.3">
      <c r="A57" s="11"/>
      <c r="B57" s="40" t="s">
        <v>24</v>
      </c>
      <c r="C57" s="38"/>
      <c r="D57" s="39"/>
      <c r="E57" s="39"/>
      <c r="F57" s="38"/>
    </row>
    <row r="58" spans="1:8" ht="14.25" customHeight="1" x14ac:dyDescent="0.25">
      <c r="A58" s="41"/>
      <c r="B58" s="42"/>
      <c r="D58" s="43"/>
      <c r="E58" s="472"/>
      <c r="G58" s="44"/>
      <c r="H58" s="44"/>
    </row>
    <row r="59" spans="1:8" ht="15" customHeight="1" x14ac:dyDescent="0.3">
      <c r="B59" s="476" t="s">
        <v>26</v>
      </c>
      <c r="C59" s="476"/>
      <c r="F59" s="45" t="s">
        <v>27</v>
      </c>
      <c r="G59" s="46"/>
      <c r="H59" s="45" t="s">
        <v>28</v>
      </c>
    </row>
    <row r="60" spans="1:8" ht="15" customHeight="1" x14ac:dyDescent="0.3">
      <c r="A60" s="47" t="s">
        <v>29</v>
      </c>
      <c r="B60" s="48"/>
      <c r="C60" s="48"/>
      <c r="F60" s="48"/>
      <c r="G60" s="2"/>
      <c r="H60" s="49"/>
    </row>
    <row r="61" spans="1:8" ht="15" customHeight="1" x14ac:dyDescent="0.3">
      <c r="A61" s="47" t="s">
        <v>30</v>
      </c>
      <c r="B61" s="50"/>
      <c r="C61" s="50"/>
      <c r="F61" s="50"/>
      <c r="G61" s="2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1" zoomScale="50" zoomScaleNormal="40" zoomScaleSheetLayoutView="50" zoomScalePageLayoutView="50" workbookViewId="0">
      <selection activeCell="E114" sqref="E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5" t="s">
        <v>45</v>
      </c>
      <c r="B1" s="515"/>
      <c r="C1" s="515"/>
      <c r="D1" s="515"/>
      <c r="E1" s="515"/>
      <c r="F1" s="515"/>
      <c r="G1" s="515"/>
      <c r="H1" s="515"/>
      <c r="I1" s="515"/>
    </row>
    <row r="2" spans="1:9" ht="18.75" customHeight="1" x14ac:dyDescent="0.25">
      <c r="A2" s="515"/>
      <c r="B2" s="515"/>
      <c r="C2" s="515"/>
      <c r="D2" s="515"/>
      <c r="E2" s="515"/>
      <c r="F2" s="515"/>
      <c r="G2" s="515"/>
      <c r="H2" s="515"/>
      <c r="I2" s="515"/>
    </row>
    <row r="3" spans="1:9" ht="18.75" customHeight="1" x14ac:dyDescent="0.25">
      <c r="A3" s="515"/>
      <c r="B3" s="515"/>
      <c r="C3" s="515"/>
      <c r="D3" s="515"/>
      <c r="E3" s="515"/>
      <c r="F3" s="515"/>
      <c r="G3" s="515"/>
      <c r="H3" s="515"/>
      <c r="I3" s="515"/>
    </row>
    <row r="4" spans="1:9" ht="18.75" customHeight="1" x14ac:dyDescent="0.25">
      <c r="A4" s="515"/>
      <c r="B4" s="515"/>
      <c r="C4" s="515"/>
      <c r="D4" s="515"/>
      <c r="E4" s="515"/>
      <c r="F4" s="515"/>
      <c r="G4" s="515"/>
      <c r="H4" s="515"/>
      <c r="I4" s="515"/>
    </row>
    <row r="5" spans="1:9" ht="18.75" customHeight="1" x14ac:dyDescent="0.25">
      <c r="A5" s="515"/>
      <c r="B5" s="515"/>
      <c r="C5" s="515"/>
      <c r="D5" s="515"/>
      <c r="E5" s="515"/>
      <c r="F5" s="515"/>
      <c r="G5" s="515"/>
      <c r="H5" s="515"/>
      <c r="I5" s="515"/>
    </row>
    <row r="6" spans="1:9" ht="18.75" customHeight="1" x14ac:dyDescent="0.25">
      <c r="A6" s="515"/>
      <c r="B6" s="515"/>
      <c r="C6" s="515"/>
      <c r="D6" s="515"/>
      <c r="E6" s="515"/>
      <c r="F6" s="515"/>
      <c r="G6" s="515"/>
      <c r="H6" s="515"/>
      <c r="I6" s="515"/>
    </row>
    <row r="7" spans="1:9" ht="18.75" customHeight="1" x14ac:dyDescent="0.25">
      <c r="A7" s="515"/>
      <c r="B7" s="515"/>
      <c r="C7" s="515"/>
      <c r="D7" s="515"/>
      <c r="E7" s="515"/>
      <c r="F7" s="515"/>
      <c r="G7" s="515"/>
      <c r="H7" s="515"/>
      <c r="I7" s="515"/>
    </row>
    <row r="8" spans="1:9" x14ac:dyDescent="0.25">
      <c r="A8" s="516" t="s">
        <v>46</v>
      </c>
      <c r="B8" s="516"/>
      <c r="C8" s="516"/>
      <c r="D8" s="516"/>
      <c r="E8" s="516"/>
      <c r="F8" s="516"/>
      <c r="G8" s="516"/>
      <c r="H8" s="516"/>
      <c r="I8" s="516"/>
    </row>
    <row r="9" spans="1:9" x14ac:dyDescent="0.25">
      <c r="A9" s="516"/>
      <c r="B9" s="516"/>
      <c r="C9" s="516"/>
      <c r="D9" s="516"/>
      <c r="E9" s="516"/>
      <c r="F9" s="516"/>
      <c r="G9" s="516"/>
      <c r="H9" s="516"/>
      <c r="I9" s="516"/>
    </row>
    <row r="10" spans="1:9" x14ac:dyDescent="0.25">
      <c r="A10" s="516"/>
      <c r="B10" s="516"/>
      <c r="C10" s="516"/>
      <c r="D10" s="516"/>
      <c r="E10" s="516"/>
      <c r="F10" s="516"/>
      <c r="G10" s="516"/>
      <c r="H10" s="516"/>
      <c r="I10" s="516"/>
    </row>
    <row r="11" spans="1:9" x14ac:dyDescent="0.25">
      <c r="A11" s="516"/>
      <c r="B11" s="516"/>
      <c r="C11" s="516"/>
      <c r="D11" s="516"/>
      <c r="E11" s="516"/>
      <c r="F11" s="516"/>
      <c r="G11" s="516"/>
      <c r="H11" s="516"/>
      <c r="I11" s="516"/>
    </row>
    <row r="12" spans="1:9" x14ac:dyDescent="0.25">
      <c r="A12" s="516"/>
      <c r="B12" s="516"/>
      <c r="C12" s="516"/>
      <c r="D12" s="516"/>
      <c r="E12" s="516"/>
      <c r="F12" s="516"/>
      <c r="G12" s="516"/>
      <c r="H12" s="516"/>
      <c r="I12" s="516"/>
    </row>
    <row r="13" spans="1:9" x14ac:dyDescent="0.25">
      <c r="A13" s="516"/>
      <c r="B13" s="516"/>
      <c r="C13" s="516"/>
      <c r="D13" s="516"/>
      <c r="E13" s="516"/>
      <c r="F13" s="516"/>
      <c r="G13" s="516"/>
      <c r="H13" s="516"/>
      <c r="I13" s="516"/>
    </row>
    <row r="14" spans="1:9" x14ac:dyDescent="0.25">
      <c r="A14" s="516"/>
      <c r="B14" s="516"/>
      <c r="C14" s="516"/>
      <c r="D14" s="516"/>
      <c r="E14" s="516"/>
      <c r="F14" s="516"/>
      <c r="G14" s="516"/>
      <c r="H14" s="516"/>
      <c r="I14" s="516"/>
    </row>
    <row r="15" spans="1:9" ht="19.5" customHeight="1" x14ac:dyDescent="0.3">
      <c r="A15" s="98"/>
    </row>
    <row r="16" spans="1:9" ht="19.5" customHeight="1" x14ac:dyDescent="0.3">
      <c r="A16" s="488" t="s">
        <v>31</v>
      </c>
      <c r="B16" s="489"/>
      <c r="C16" s="489"/>
      <c r="D16" s="489"/>
      <c r="E16" s="489"/>
      <c r="F16" s="489"/>
      <c r="G16" s="489"/>
      <c r="H16" s="490"/>
    </row>
    <row r="17" spans="1:14" ht="20.25" customHeight="1" x14ac:dyDescent="0.25">
      <c r="A17" s="491" t="s">
        <v>47</v>
      </c>
      <c r="B17" s="491"/>
      <c r="C17" s="491"/>
      <c r="D17" s="491"/>
      <c r="E17" s="491"/>
      <c r="F17" s="491"/>
      <c r="G17" s="491"/>
      <c r="H17" s="491"/>
    </row>
    <row r="18" spans="1:14" ht="26.25" customHeight="1" x14ac:dyDescent="0.4">
      <c r="A18" s="100" t="s">
        <v>33</v>
      </c>
      <c r="B18" s="492" t="s">
        <v>5</v>
      </c>
      <c r="C18" s="492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87" t="s">
        <v>131</v>
      </c>
      <c r="C20" s="487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87" t="s">
        <v>11</v>
      </c>
      <c r="C21" s="487"/>
      <c r="D21" s="487"/>
      <c r="E21" s="487"/>
      <c r="F21" s="487"/>
      <c r="G21" s="487"/>
      <c r="H21" s="487"/>
      <c r="I21" s="104"/>
    </row>
    <row r="22" spans="1:14" ht="26.25" customHeight="1" x14ac:dyDescent="0.4">
      <c r="A22" s="100" t="s">
        <v>37</v>
      </c>
      <c r="B22" s="105">
        <v>42818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292">
        <v>42821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87" t="s">
        <v>131</v>
      </c>
      <c r="C26" s="487"/>
    </row>
    <row r="27" spans="1:14" ht="26.25" customHeight="1" x14ac:dyDescent="0.4">
      <c r="A27" s="109" t="s">
        <v>48</v>
      </c>
      <c r="B27" s="493" t="s">
        <v>132</v>
      </c>
      <c r="C27" s="493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49</v>
      </c>
      <c r="B29" s="111">
        <v>0</v>
      </c>
      <c r="C29" s="494" t="s">
        <v>50</v>
      </c>
      <c r="D29" s="495"/>
      <c r="E29" s="495"/>
      <c r="F29" s="495"/>
      <c r="G29" s="49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97" t="s">
        <v>53</v>
      </c>
      <c r="D31" s="498"/>
      <c r="E31" s="498"/>
      <c r="F31" s="498"/>
      <c r="G31" s="498"/>
      <c r="H31" s="49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97" t="s">
        <v>55</v>
      </c>
      <c r="D32" s="498"/>
      <c r="E32" s="498"/>
      <c r="F32" s="498"/>
      <c r="G32" s="498"/>
      <c r="H32" s="49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500" t="s">
        <v>59</v>
      </c>
      <c r="E36" s="501"/>
      <c r="F36" s="500" t="s">
        <v>60</v>
      </c>
      <c r="G36" s="502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53938581</v>
      </c>
      <c r="E38" s="133">
        <f>IF(ISBLANK(D38),"-",$D$48/$D$45*D38)</f>
        <v>59819230.04836458</v>
      </c>
      <c r="F38" s="132">
        <v>61213478</v>
      </c>
      <c r="G38" s="134">
        <f>IF(ISBLANK(F38),"-",$D$48/$F$45*F38)</f>
        <v>61428292.739710771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53798934</v>
      </c>
      <c r="E39" s="138">
        <f>IF(ISBLANK(D39),"-",$D$48/$D$45*D39)</f>
        <v>59664358.0464748</v>
      </c>
      <c r="F39" s="137">
        <v>61269212</v>
      </c>
      <c r="G39" s="139">
        <f>IF(ISBLANK(F39),"-",$D$48/$F$45*F39)</f>
        <v>61484222.325472184</v>
      </c>
      <c r="I39" s="504">
        <f>ABS((F43/D43*D42)-F42)/D42</f>
        <v>3.1725212054622864E-2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53826910</v>
      </c>
      <c r="E40" s="138">
        <f>IF(ISBLANK(D40),"-",$D$48/$D$45*D40)</f>
        <v>59695384.12741366</v>
      </c>
      <c r="F40" s="137">
        <v>61195359</v>
      </c>
      <c r="G40" s="139">
        <f>IF(ISBLANK(F40),"-",$D$48/$F$45*F40)</f>
        <v>61410110.155212782</v>
      </c>
      <c r="I40" s="504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53854808.333333336</v>
      </c>
      <c r="E42" s="148">
        <f>AVERAGE(E38:E41)</f>
        <v>59726324.074084342</v>
      </c>
      <c r="F42" s="147">
        <f>AVERAGE(F38:F41)</f>
        <v>61226016.333333336</v>
      </c>
      <c r="G42" s="149">
        <f>AVERAGE(G38:G41)</f>
        <v>61440875.07346525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18.07</v>
      </c>
      <c r="E43" s="140"/>
      <c r="F43" s="152">
        <v>19.97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18.07</v>
      </c>
      <c r="E44" s="155"/>
      <c r="F44" s="154">
        <f>F43*$B$34</f>
        <v>19.97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20</v>
      </c>
      <c r="C45" s="153" t="s">
        <v>77</v>
      </c>
      <c r="D45" s="157">
        <f>D44*$B$30/100</f>
        <v>18.033860000000001</v>
      </c>
      <c r="E45" s="158"/>
      <c r="F45" s="157">
        <f>F44*$B$30/100</f>
        <v>19.930059999999997</v>
      </c>
      <c r="H45" s="150"/>
    </row>
    <row r="46" spans="1:14" ht="19.5" customHeight="1" x14ac:dyDescent="0.3">
      <c r="A46" s="505" t="s">
        <v>78</v>
      </c>
      <c r="B46" s="506"/>
      <c r="C46" s="153" t="s">
        <v>79</v>
      </c>
      <c r="D46" s="159">
        <f>D45/$B$45</f>
        <v>0.90169300000000008</v>
      </c>
      <c r="E46" s="160"/>
      <c r="F46" s="161">
        <f>F45/$B$45</f>
        <v>0.99650299999999992</v>
      </c>
      <c r="H46" s="150"/>
    </row>
    <row r="47" spans="1:14" ht="27" customHeight="1" x14ac:dyDescent="0.4">
      <c r="A47" s="507"/>
      <c r="B47" s="508"/>
      <c r="C47" s="162" t="s">
        <v>80</v>
      </c>
      <c r="D47" s="163">
        <v>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60583599.573774792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1.5529686498725057E-2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film-coated tablet contains Lopinavir 200 mg, Ritonavir 50 mg</v>
      </c>
    </row>
    <row r="56" spans="1:12" ht="26.25" customHeight="1" x14ac:dyDescent="0.4">
      <c r="A56" s="177" t="s">
        <v>87</v>
      </c>
      <c r="B56" s="178">
        <v>200</v>
      </c>
      <c r="C56" s="99" t="str">
        <f>B20</f>
        <v xml:space="preserve">Lopinavir </v>
      </c>
      <c r="H56" s="179"/>
    </row>
    <row r="57" spans="1:12" ht="18.75" x14ac:dyDescent="0.3">
      <c r="A57" s="176" t="s">
        <v>88</v>
      </c>
      <c r="B57" s="247">
        <f>Uniformity!C46</f>
        <v>1258.5785000000001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509" t="s">
        <v>94</v>
      </c>
      <c r="D60" s="512">
        <v>1276.78</v>
      </c>
      <c r="E60" s="182">
        <v>1</v>
      </c>
      <c r="F60" s="183">
        <v>62244421</v>
      </c>
      <c r="G60" s="248">
        <f>IF(ISBLANK(F60),"-",(F60/$D$50*$D$47*$B$68)*($B$57/$D$60))</f>
        <v>202.55342503777362</v>
      </c>
      <c r="H60" s="266">
        <f t="shared" ref="H60:H71" si="0">IF(ISBLANK(F60),"-",(G60/$B$56)*100)</f>
        <v>101.27671251888681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510"/>
      <c r="D61" s="513"/>
      <c r="E61" s="184">
        <v>2</v>
      </c>
      <c r="F61" s="137">
        <v>62256869</v>
      </c>
      <c r="G61" s="249">
        <f>IF(ISBLANK(F61),"-",(F61/$D$50*$D$47*$B$68)*($B$57/$D$60))</f>
        <v>202.59393284545118</v>
      </c>
      <c r="H61" s="267">
        <f t="shared" si="0"/>
        <v>101.29696642272559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10"/>
      <c r="D62" s="513"/>
      <c r="E62" s="184">
        <v>3</v>
      </c>
      <c r="F62" s="185">
        <v>62266778</v>
      </c>
      <c r="G62" s="249">
        <f>IF(ISBLANK(F62),"-",(F62/$D$50*$D$47*$B$68)*($B$57/$D$60))</f>
        <v>202.62617833599401</v>
      </c>
      <c r="H62" s="267">
        <f t="shared" si="0"/>
        <v>101.31308916799702</v>
      </c>
      <c r="L62" s="112"/>
    </row>
    <row r="63" spans="1:12" ht="27" customHeight="1" x14ac:dyDescent="0.4">
      <c r="A63" s="124" t="s">
        <v>97</v>
      </c>
      <c r="B63" s="125">
        <v>1</v>
      </c>
      <c r="C63" s="511"/>
      <c r="D63" s="514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9" t="s">
        <v>99</v>
      </c>
      <c r="D64" s="512">
        <v>1246.21</v>
      </c>
      <c r="E64" s="182">
        <v>1</v>
      </c>
      <c r="F64" s="183">
        <v>59756452</v>
      </c>
      <c r="G64" s="248">
        <f>IF(ISBLANK(F64),"-",(F64/$D$50*$D$47*$B$68)*($B$57/$D$64))</f>
        <v>199.22727858138973</v>
      </c>
      <c r="H64" s="266">
        <f t="shared" si="0"/>
        <v>99.613639290694863</v>
      </c>
    </row>
    <row r="65" spans="1:8" ht="26.25" customHeight="1" x14ac:dyDescent="0.4">
      <c r="A65" s="124" t="s">
        <v>100</v>
      </c>
      <c r="B65" s="125">
        <v>1</v>
      </c>
      <c r="C65" s="510"/>
      <c r="D65" s="513"/>
      <c r="E65" s="184">
        <v>2</v>
      </c>
      <c r="F65" s="137">
        <v>59752952</v>
      </c>
      <c r="G65" s="249">
        <f>IF(ISBLANK(F65),"-",(F65/$D$50*$D$47*$B$68)*($B$57/$D$64))</f>
        <v>199.2156096242864</v>
      </c>
      <c r="H65" s="267">
        <f t="shared" si="0"/>
        <v>99.6078048121432</v>
      </c>
    </row>
    <row r="66" spans="1:8" ht="26.25" customHeight="1" x14ac:dyDescent="0.4">
      <c r="A66" s="124" t="s">
        <v>101</v>
      </c>
      <c r="B66" s="125">
        <v>1</v>
      </c>
      <c r="C66" s="510"/>
      <c r="D66" s="513"/>
      <c r="E66" s="184">
        <v>3</v>
      </c>
      <c r="F66" s="137">
        <v>59725405</v>
      </c>
      <c r="G66" s="249">
        <f>IF(ISBLANK(F66),"-",(F66/$D$50*$D$47*$B$68)*($B$57/$D$64))</f>
        <v>199.12376826390775</v>
      </c>
      <c r="H66" s="267">
        <f t="shared" si="0"/>
        <v>99.561884131953875</v>
      </c>
    </row>
    <row r="67" spans="1:8" ht="27" customHeight="1" x14ac:dyDescent="0.4">
      <c r="A67" s="124" t="s">
        <v>102</v>
      </c>
      <c r="B67" s="125">
        <v>1</v>
      </c>
      <c r="C67" s="511"/>
      <c r="D67" s="514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200</v>
      </c>
      <c r="C68" s="509" t="s">
        <v>104</v>
      </c>
      <c r="D68" s="512">
        <v>1264.8</v>
      </c>
      <c r="E68" s="182">
        <v>1</v>
      </c>
      <c r="F68" s="183">
        <v>61723588</v>
      </c>
      <c r="G68" s="248">
        <f>IF(ISBLANK(F68),"-",(F68/$D$50*$D$47*$B$68)*($B$57/$D$68))</f>
        <v>202.76105283064044</v>
      </c>
      <c r="H68" s="267">
        <f t="shared" si="0"/>
        <v>101.38052641532023</v>
      </c>
    </row>
    <row r="69" spans="1:8" ht="27" customHeight="1" x14ac:dyDescent="0.4">
      <c r="A69" s="172" t="s">
        <v>105</v>
      </c>
      <c r="B69" s="189">
        <f>(D47*B68)/B56*B57</f>
        <v>1258.5785000000001</v>
      </c>
      <c r="C69" s="510"/>
      <c r="D69" s="513"/>
      <c r="E69" s="184">
        <v>2</v>
      </c>
      <c r="F69" s="137">
        <v>61625741</v>
      </c>
      <c r="G69" s="249">
        <f>IF(ISBLANK(F69),"-",(F69/$D$50*$D$47*$B$68)*($B$57/$D$68))</f>
        <v>202.43962691586177</v>
      </c>
      <c r="H69" s="267">
        <f t="shared" si="0"/>
        <v>101.21981345793087</v>
      </c>
    </row>
    <row r="70" spans="1:8" ht="26.25" customHeight="1" x14ac:dyDescent="0.4">
      <c r="A70" s="522" t="s">
        <v>78</v>
      </c>
      <c r="B70" s="523"/>
      <c r="C70" s="510"/>
      <c r="D70" s="513"/>
      <c r="E70" s="184">
        <v>3</v>
      </c>
      <c r="F70" s="137">
        <v>61519843</v>
      </c>
      <c r="G70" s="249">
        <f>IF(ISBLANK(F70),"-",(F70/$D$50*$D$47*$B$68)*($B$57/$D$68))</f>
        <v>202.09175358787803</v>
      </c>
      <c r="H70" s="267">
        <f t="shared" si="0"/>
        <v>101.04587679393902</v>
      </c>
    </row>
    <row r="71" spans="1:8" ht="27" customHeight="1" x14ac:dyDescent="0.4">
      <c r="A71" s="524"/>
      <c r="B71" s="525"/>
      <c r="C71" s="521"/>
      <c r="D71" s="514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201.40362511368699</v>
      </c>
      <c r="H72" s="269">
        <f>AVERAGE(H60:H71)</f>
        <v>100.70181255684349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8.2980079375281936E-3</v>
      </c>
      <c r="H73" s="253">
        <f>STDEV(H60:H71)/H72</f>
        <v>8.2980079375282092E-3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517" t="str">
        <f>B26</f>
        <v xml:space="preserve">Lopinavir </v>
      </c>
      <c r="D76" s="517"/>
      <c r="E76" s="198" t="s">
        <v>108</v>
      </c>
      <c r="F76" s="198"/>
      <c r="G76" s="199">
        <f>H72</f>
        <v>100.70181255684349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3" t="str">
        <f>B26</f>
        <v xml:space="preserve">Lopinavir </v>
      </c>
      <c r="C79" s="503"/>
    </row>
    <row r="80" spans="1:8" ht="26.25" customHeight="1" x14ac:dyDescent="0.4">
      <c r="A80" s="109" t="s">
        <v>48</v>
      </c>
      <c r="B80" s="503" t="str">
        <f>B27</f>
        <v>L20-2</v>
      </c>
      <c r="C80" s="503"/>
    </row>
    <row r="81" spans="1:12" ht="27" customHeight="1" x14ac:dyDescent="0.4">
      <c r="A81" s="109" t="s">
        <v>6</v>
      </c>
      <c r="B81" s="201">
        <f>B28</f>
        <v>99.8</v>
      </c>
    </row>
    <row r="82" spans="1:12" s="14" customFormat="1" ht="27" customHeight="1" x14ac:dyDescent="0.4">
      <c r="A82" s="109" t="s">
        <v>49</v>
      </c>
      <c r="B82" s="111">
        <v>0</v>
      </c>
      <c r="C82" s="494" t="s">
        <v>50</v>
      </c>
      <c r="D82" s="495"/>
      <c r="E82" s="495"/>
      <c r="F82" s="495"/>
      <c r="G82" s="49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97" t="s">
        <v>111</v>
      </c>
      <c r="D84" s="498"/>
      <c r="E84" s="498"/>
      <c r="F84" s="498"/>
      <c r="G84" s="498"/>
      <c r="H84" s="49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97" t="s">
        <v>112</v>
      </c>
      <c r="D85" s="498"/>
      <c r="E85" s="498"/>
      <c r="F85" s="498"/>
      <c r="G85" s="498"/>
      <c r="H85" s="49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20</v>
      </c>
      <c r="D89" s="202" t="s">
        <v>59</v>
      </c>
      <c r="E89" s="203"/>
      <c r="F89" s="500" t="s">
        <v>60</v>
      </c>
      <c r="G89" s="502"/>
    </row>
    <row r="90" spans="1:12" ht="27" customHeight="1" x14ac:dyDescent="0.4">
      <c r="A90" s="124" t="s">
        <v>61</v>
      </c>
      <c r="B90" s="125">
        <v>2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</v>
      </c>
      <c r="C91" s="206">
        <v>1</v>
      </c>
      <c r="D91" s="132">
        <v>11120674</v>
      </c>
      <c r="E91" s="133">
        <f>IF(ISBLANK(D91),"-",$D$101/$D$98*D91)</f>
        <v>13703449.449473871</v>
      </c>
      <c r="F91" s="132">
        <v>12530862</v>
      </c>
      <c r="G91" s="134">
        <f>IF(ISBLANK(F91),"-",$D$101/$F$98*F91)</f>
        <v>13972040.224665657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11119964</v>
      </c>
      <c r="E92" s="138">
        <f>IF(ISBLANK(D92),"-",$D$101/$D$98*D92)</f>
        <v>13702574.552043272</v>
      </c>
      <c r="F92" s="137">
        <v>12551316</v>
      </c>
      <c r="G92" s="139">
        <f>IF(ISBLANK(F92),"-",$D$101/$F$98*F92)</f>
        <v>13994846.645385582</v>
      </c>
      <c r="I92" s="504">
        <f>ABS((F96/D96*D95)-F95)/D95</f>
        <v>2.1680143485777535E-2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11122020</v>
      </c>
      <c r="E93" s="138">
        <f>IF(ISBLANK(D93),"-",$D$101/$D$98*D93)</f>
        <v>13705108.057842301</v>
      </c>
      <c r="F93" s="137">
        <v>12511759</v>
      </c>
      <c r="G93" s="139">
        <f>IF(ISBLANK(F93),"-",$D$101/$F$98*F93)</f>
        <v>13950740.182863921</v>
      </c>
      <c r="I93" s="504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11120886</v>
      </c>
      <c r="E95" s="148">
        <f>AVERAGE(E91:E94)</f>
        <v>13703710.686453149</v>
      </c>
      <c r="F95" s="211">
        <f>AVERAGE(F91:F94)</f>
        <v>12531312.333333334</v>
      </c>
      <c r="G95" s="212">
        <f>AVERAGE(G91:G94)</f>
        <v>13972542.350971719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18.07</v>
      </c>
      <c r="E96" s="140"/>
      <c r="F96" s="152">
        <v>19.97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18.07</v>
      </c>
      <c r="E97" s="155"/>
      <c r="F97" s="154">
        <f>F96*$B$87</f>
        <v>19.97</v>
      </c>
    </row>
    <row r="98" spans="1:10" ht="19.5" customHeight="1" x14ac:dyDescent="0.3">
      <c r="A98" s="124" t="s">
        <v>76</v>
      </c>
      <c r="B98" s="217">
        <f>(B97/B96)*(B95/B94)*(B93/B92)*(B91/B90)*B89</f>
        <v>100</v>
      </c>
      <c r="C98" s="215" t="s">
        <v>115</v>
      </c>
      <c r="D98" s="218">
        <f>D97*$B$83/100</f>
        <v>18.033860000000001</v>
      </c>
      <c r="E98" s="158"/>
      <c r="F98" s="157">
        <f>F97*$B$83/100</f>
        <v>19.930059999999997</v>
      </c>
    </row>
    <row r="99" spans="1:10" ht="19.5" customHeight="1" x14ac:dyDescent="0.3">
      <c r="A99" s="505" t="s">
        <v>78</v>
      </c>
      <c r="B99" s="519"/>
      <c r="C99" s="215" t="s">
        <v>116</v>
      </c>
      <c r="D99" s="219">
        <f>D98/$B$98</f>
        <v>0.18033860000000002</v>
      </c>
      <c r="E99" s="158"/>
      <c r="F99" s="161">
        <f>F98/$B$98</f>
        <v>0.19930059999999997</v>
      </c>
      <c r="G99" s="220"/>
      <c r="H99" s="150"/>
    </row>
    <row r="100" spans="1:10" ht="19.5" customHeight="1" x14ac:dyDescent="0.3">
      <c r="A100" s="507"/>
      <c r="B100" s="520"/>
      <c r="C100" s="215" t="s">
        <v>80</v>
      </c>
      <c r="D100" s="221">
        <f>$B$56/$B$116</f>
        <v>0.22222222222222221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22.222222222222221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22.222222222222221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13838126.518712433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1.068835281512283E-2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13396856</v>
      </c>
      <c r="E108" s="250">
        <f t="shared" ref="E108:E113" si="1">IF(ISBLANK(D108),"-",D108/$D$103*$D$100*$B$116)</f>
        <v>193.62239508193929</v>
      </c>
      <c r="F108" s="277">
        <f t="shared" ref="F108:F113" si="2">IF(ISBLANK(D108), "-", (E108/$B$56)*100)</f>
        <v>96.811197540969644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13517174</v>
      </c>
      <c r="E109" s="251">
        <f t="shared" si="1"/>
        <v>195.36132989854616</v>
      </c>
      <c r="F109" s="278">
        <f t="shared" si="2"/>
        <v>97.68066494927308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13432506</v>
      </c>
      <c r="E110" s="251">
        <f t="shared" si="1"/>
        <v>194.13763823933914</v>
      </c>
      <c r="F110" s="278">
        <f t="shared" si="2"/>
        <v>97.06881911966957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13257597</v>
      </c>
      <c r="E111" s="251">
        <f t="shared" si="1"/>
        <v>191.60970933561822</v>
      </c>
      <c r="F111" s="278">
        <f t="shared" si="2"/>
        <v>95.80485466780911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13602031</v>
      </c>
      <c r="E112" s="251">
        <f t="shared" si="1"/>
        <v>196.58775314139271</v>
      </c>
      <c r="F112" s="278">
        <f t="shared" si="2"/>
        <v>98.293876570696355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13623512</v>
      </c>
      <c r="E113" s="252">
        <f t="shared" si="1"/>
        <v>196.89821424277014</v>
      </c>
      <c r="F113" s="279">
        <f t="shared" si="2"/>
        <v>98.449107121385069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194.70283998993429</v>
      </c>
      <c r="F115" s="281">
        <f>AVERAGE(F108:F113)</f>
        <v>97.351419994967145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34"/>
      <c r="D116" s="258" t="s">
        <v>84</v>
      </c>
      <c r="E116" s="256">
        <f>STDEV(E108:E113)/E115</f>
        <v>1.0236163434750837E-2</v>
      </c>
      <c r="F116" s="235">
        <f>STDEV(F108:F113)/F115</f>
        <v>1.0236163434750837E-2</v>
      </c>
      <c r="I116" s="98"/>
    </row>
    <row r="117" spans="1:10" ht="27" customHeight="1" x14ac:dyDescent="0.4">
      <c r="A117" s="505" t="s">
        <v>78</v>
      </c>
      <c r="B117" s="506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507"/>
      <c r="B118" s="508"/>
      <c r="C118" s="98"/>
      <c r="D118" s="260"/>
      <c r="E118" s="485" t="s">
        <v>123</v>
      </c>
      <c r="F118" s="48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191.60970933561822</v>
      </c>
      <c r="F119" s="282">
        <f>MIN(F108:F113)</f>
        <v>95.80485466780911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196.89821424277014</v>
      </c>
      <c r="F120" s="283">
        <f>MAX(F108:F113)</f>
        <v>98.449107121385069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517" t="str">
        <f>B26</f>
        <v xml:space="preserve">Lopinavir </v>
      </c>
      <c r="D124" s="517"/>
      <c r="E124" s="198" t="s">
        <v>127</v>
      </c>
      <c r="F124" s="198"/>
      <c r="G124" s="284">
        <f>F115</f>
        <v>97.351419994967145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95.80485466780911</v>
      </c>
      <c r="E125" s="209" t="s">
        <v>130</v>
      </c>
      <c r="F125" s="284">
        <f>MAX(F108:F113)</f>
        <v>98.449107121385069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518" t="s">
        <v>26</v>
      </c>
      <c r="C127" s="518"/>
      <c r="E127" s="204" t="s">
        <v>27</v>
      </c>
      <c r="F127" s="239"/>
      <c r="G127" s="518" t="s">
        <v>28</v>
      </c>
      <c r="H127" s="518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6" zoomScale="50" zoomScaleNormal="40" zoomScaleSheetLayoutView="50" zoomScalePageLayoutView="50" workbookViewId="0">
      <selection activeCell="G38" sqref="G38:G4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5" t="s">
        <v>45</v>
      </c>
      <c r="B1" s="515"/>
      <c r="C1" s="515"/>
      <c r="D1" s="515"/>
      <c r="E1" s="515"/>
      <c r="F1" s="515"/>
      <c r="G1" s="515"/>
      <c r="H1" s="515"/>
      <c r="I1" s="515"/>
    </row>
    <row r="2" spans="1:9" ht="18.75" customHeight="1" x14ac:dyDescent="0.25">
      <c r="A2" s="515"/>
      <c r="B2" s="515"/>
      <c r="C2" s="515"/>
      <c r="D2" s="515"/>
      <c r="E2" s="515"/>
      <c r="F2" s="515"/>
      <c r="G2" s="515"/>
      <c r="H2" s="515"/>
      <c r="I2" s="515"/>
    </row>
    <row r="3" spans="1:9" ht="18.75" customHeight="1" x14ac:dyDescent="0.25">
      <c r="A3" s="515"/>
      <c r="B3" s="515"/>
      <c r="C3" s="515"/>
      <c r="D3" s="515"/>
      <c r="E3" s="515"/>
      <c r="F3" s="515"/>
      <c r="G3" s="515"/>
      <c r="H3" s="515"/>
      <c r="I3" s="515"/>
    </row>
    <row r="4" spans="1:9" ht="18.75" customHeight="1" x14ac:dyDescent="0.25">
      <c r="A4" s="515"/>
      <c r="B4" s="515"/>
      <c r="C4" s="515"/>
      <c r="D4" s="515"/>
      <c r="E4" s="515"/>
      <c r="F4" s="515"/>
      <c r="G4" s="515"/>
      <c r="H4" s="515"/>
      <c r="I4" s="515"/>
    </row>
    <row r="5" spans="1:9" ht="18.75" customHeight="1" x14ac:dyDescent="0.25">
      <c r="A5" s="515"/>
      <c r="B5" s="515"/>
      <c r="C5" s="515"/>
      <c r="D5" s="515"/>
      <c r="E5" s="515"/>
      <c r="F5" s="515"/>
      <c r="G5" s="515"/>
      <c r="H5" s="515"/>
      <c r="I5" s="515"/>
    </row>
    <row r="6" spans="1:9" ht="18.75" customHeight="1" x14ac:dyDescent="0.25">
      <c r="A6" s="515"/>
      <c r="B6" s="515"/>
      <c r="C6" s="515"/>
      <c r="D6" s="515"/>
      <c r="E6" s="515"/>
      <c r="F6" s="515"/>
      <c r="G6" s="515"/>
      <c r="H6" s="515"/>
      <c r="I6" s="515"/>
    </row>
    <row r="7" spans="1:9" ht="18.75" customHeight="1" x14ac:dyDescent="0.25">
      <c r="A7" s="515"/>
      <c r="B7" s="515"/>
      <c r="C7" s="515"/>
      <c r="D7" s="515"/>
      <c r="E7" s="515"/>
      <c r="F7" s="515"/>
      <c r="G7" s="515"/>
      <c r="H7" s="515"/>
      <c r="I7" s="515"/>
    </row>
    <row r="8" spans="1:9" x14ac:dyDescent="0.25">
      <c r="A8" s="516" t="s">
        <v>46</v>
      </c>
      <c r="B8" s="516"/>
      <c r="C8" s="516"/>
      <c r="D8" s="516"/>
      <c r="E8" s="516"/>
      <c r="F8" s="516"/>
      <c r="G8" s="516"/>
      <c r="H8" s="516"/>
      <c r="I8" s="516"/>
    </row>
    <row r="9" spans="1:9" x14ac:dyDescent="0.25">
      <c r="A9" s="516"/>
      <c r="B9" s="516"/>
      <c r="C9" s="516"/>
      <c r="D9" s="516"/>
      <c r="E9" s="516"/>
      <c r="F9" s="516"/>
      <c r="G9" s="516"/>
      <c r="H9" s="516"/>
      <c r="I9" s="516"/>
    </row>
    <row r="10" spans="1:9" x14ac:dyDescent="0.25">
      <c r="A10" s="516"/>
      <c r="B10" s="516"/>
      <c r="C10" s="516"/>
      <c r="D10" s="516"/>
      <c r="E10" s="516"/>
      <c r="F10" s="516"/>
      <c r="G10" s="516"/>
      <c r="H10" s="516"/>
      <c r="I10" s="516"/>
    </row>
    <row r="11" spans="1:9" x14ac:dyDescent="0.25">
      <c r="A11" s="516"/>
      <c r="B11" s="516"/>
      <c r="C11" s="516"/>
      <c r="D11" s="516"/>
      <c r="E11" s="516"/>
      <c r="F11" s="516"/>
      <c r="G11" s="516"/>
      <c r="H11" s="516"/>
      <c r="I11" s="516"/>
    </row>
    <row r="12" spans="1:9" x14ac:dyDescent="0.25">
      <c r="A12" s="516"/>
      <c r="B12" s="516"/>
      <c r="C12" s="516"/>
      <c r="D12" s="516"/>
      <c r="E12" s="516"/>
      <c r="F12" s="516"/>
      <c r="G12" s="516"/>
      <c r="H12" s="516"/>
      <c r="I12" s="516"/>
    </row>
    <row r="13" spans="1:9" x14ac:dyDescent="0.25">
      <c r="A13" s="516"/>
      <c r="B13" s="516"/>
      <c r="C13" s="516"/>
      <c r="D13" s="516"/>
      <c r="E13" s="516"/>
      <c r="F13" s="516"/>
      <c r="G13" s="516"/>
      <c r="H13" s="516"/>
      <c r="I13" s="516"/>
    </row>
    <row r="14" spans="1:9" x14ac:dyDescent="0.25">
      <c r="A14" s="516"/>
      <c r="B14" s="516"/>
      <c r="C14" s="516"/>
      <c r="D14" s="516"/>
      <c r="E14" s="516"/>
      <c r="F14" s="516"/>
      <c r="G14" s="516"/>
      <c r="H14" s="516"/>
      <c r="I14" s="516"/>
    </row>
    <row r="15" spans="1:9" ht="19.5" customHeight="1" x14ac:dyDescent="0.3">
      <c r="A15" s="285"/>
    </row>
    <row r="16" spans="1:9" ht="19.5" customHeight="1" x14ac:dyDescent="0.3">
      <c r="A16" s="488" t="s">
        <v>31</v>
      </c>
      <c r="B16" s="489"/>
      <c r="C16" s="489"/>
      <c r="D16" s="489"/>
      <c r="E16" s="489"/>
      <c r="F16" s="489"/>
      <c r="G16" s="489"/>
      <c r="H16" s="490"/>
    </row>
    <row r="17" spans="1:14" ht="20.25" customHeight="1" x14ac:dyDescent="0.25">
      <c r="A17" s="491" t="s">
        <v>47</v>
      </c>
      <c r="B17" s="491"/>
      <c r="C17" s="491"/>
      <c r="D17" s="491"/>
      <c r="E17" s="491"/>
      <c r="F17" s="491"/>
      <c r="G17" s="491"/>
      <c r="H17" s="491"/>
    </row>
    <row r="18" spans="1:14" ht="26.25" customHeight="1" x14ac:dyDescent="0.4">
      <c r="A18" s="287" t="s">
        <v>33</v>
      </c>
      <c r="B18" s="492" t="s">
        <v>5</v>
      </c>
      <c r="C18" s="492"/>
      <c r="D18" s="433"/>
      <c r="E18" s="288"/>
      <c r="F18" s="289"/>
      <c r="G18" s="289"/>
      <c r="H18" s="289"/>
    </row>
    <row r="19" spans="1:14" ht="26.25" customHeight="1" x14ac:dyDescent="0.4">
      <c r="A19" s="287" t="s">
        <v>34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35</v>
      </c>
      <c r="B20" s="487" t="s">
        <v>133</v>
      </c>
      <c r="C20" s="487"/>
      <c r="D20" s="289"/>
      <c r="E20" s="289"/>
      <c r="F20" s="289"/>
      <c r="G20" s="289"/>
      <c r="H20" s="289"/>
    </row>
    <row r="21" spans="1:14" ht="26.25" customHeight="1" x14ac:dyDescent="0.4">
      <c r="A21" s="287" t="s">
        <v>36</v>
      </c>
      <c r="B21" s="487" t="s">
        <v>11</v>
      </c>
      <c r="C21" s="487"/>
      <c r="D21" s="487"/>
      <c r="E21" s="487"/>
      <c r="F21" s="487"/>
      <c r="G21" s="487"/>
      <c r="H21" s="487"/>
      <c r="I21" s="291"/>
    </row>
    <row r="22" spans="1:14" ht="26.25" customHeight="1" x14ac:dyDescent="0.4">
      <c r="A22" s="287" t="s">
        <v>37</v>
      </c>
      <c r="B22" s="292">
        <v>42818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38</v>
      </c>
      <c r="B23" s="292">
        <v>42821</v>
      </c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492" t="s">
        <v>133</v>
      </c>
      <c r="C26" s="492"/>
    </row>
    <row r="27" spans="1:14" ht="26.25" customHeight="1" x14ac:dyDescent="0.4">
      <c r="A27" s="296" t="s">
        <v>48</v>
      </c>
      <c r="B27" s="493" t="s">
        <v>134</v>
      </c>
      <c r="C27" s="493"/>
    </row>
    <row r="28" spans="1:14" ht="27" customHeight="1" x14ac:dyDescent="0.4">
      <c r="A28" s="296" t="s">
        <v>6</v>
      </c>
      <c r="B28" s="297">
        <v>99.4</v>
      </c>
    </row>
    <row r="29" spans="1:14" s="14" customFormat="1" ht="27" customHeight="1" x14ac:dyDescent="0.4">
      <c r="A29" s="296" t="s">
        <v>49</v>
      </c>
      <c r="B29" s="298">
        <v>0</v>
      </c>
      <c r="C29" s="494" t="s">
        <v>50</v>
      </c>
      <c r="D29" s="495"/>
      <c r="E29" s="495"/>
      <c r="F29" s="495"/>
      <c r="G29" s="496"/>
      <c r="I29" s="299"/>
      <c r="J29" s="299"/>
      <c r="K29" s="299"/>
      <c r="L29" s="299"/>
    </row>
    <row r="30" spans="1:14" s="14" customFormat="1" ht="19.5" customHeight="1" x14ac:dyDescent="0.3">
      <c r="A30" s="296" t="s">
        <v>51</v>
      </c>
      <c r="B30" s="300">
        <f>B28-B29</f>
        <v>99.4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52</v>
      </c>
      <c r="B31" s="303">
        <v>1</v>
      </c>
      <c r="C31" s="497" t="s">
        <v>53</v>
      </c>
      <c r="D31" s="498"/>
      <c r="E31" s="498"/>
      <c r="F31" s="498"/>
      <c r="G31" s="498"/>
      <c r="H31" s="499"/>
      <c r="I31" s="299"/>
      <c r="J31" s="299"/>
      <c r="K31" s="299"/>
      <c r="L31" s="299"/>
    </row>
    <row r="32" spans="1:14" s="14" customFormat="1" ht="27" customHeight="1" x14ac:dyDescent="0.4">
      <c r="A32" s="296" t="s">
        <v>54</v>
      </c>
      <c r="B32" s="303">
        <v>1</v>
      </c>
      <c r="C32" s="497" t="s">
        <v>55</v>
      </c>
      <c r="D32" s="498"/>
      <c r="E32" s="498"/>
      <c r="F32" s="498"/>
      <c r="G32" s="498"/>
      <c r="H32" s="499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58</v>
      </c>
      <c r="B36" s="310">
        <v>25</v>
      </c>
      <c r="C36" s="286"/>
      <c r="D36" s="500" t="s">
        <v>59</v>
      </c>
      <c r="E36" s="501"/>
      <c r="F36" s="500" t="s">
        <v>60</v>
      </c>
      <c r="G36" s="502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61</v>
      </c>
      <c r="B37" s="312">
        <v>10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66</v>
      </c>
      <c r="B38" s="312">
        <v>20</v>
      </c>
      <c r="C38" s="318">
        <v>1</v>
      </c>
      <c r="D38" s="319">
        <v>12913622</v>
      </c>
      <c r="E38" s="320">
        <f>IF(ISBLANK(D38),"-",$D$48/$D$45*D38)</f>
        <v>14551491.295442909</v>
      </c>
      <c r="F38" s="319">
        <v>14077581</v>
      </c>
      <c r="G38" s="321">
        <f>IF(ISBLANK(F38),"-",$D$48/$F$45*F38)</f>
        <v>14276770.502044525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67</v>
      </c>
      <c r="B39" s="312">
        <v>1</v>
      </c>
      <c r="C39" s="323">
        <v>2</v>
      </c>
      <c r="D39" s="324">
        <v>12898951</v>
      </c>
      <c r="E39" s="325">
        <f>IF(ISBLANK(D39),"-",$D$48/$D$45*D39)</f>
        <v>14534959.533184772</v>
      </c>
      <c r="F39" s="324">
        <v>14099261</v>
      </c>
      <c r="G39" s="326">
        <f>IF(ISBLANK(F39),"-",$D$48/$F$45*F39)</f>
        <v>14298757.261309793</v>
      </c>
      <c r="I39" s="504">
        <f>ABS((F43/D43*D42)-F42)/D42</f>
        <v>1.9823467697537959E-2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68</v>
      </c>
      <c r="B40" s="312">
        <v>1</v>
      </c>
      <c r="C40" s="323">
        <v>3</v>
      </c>
      <c r="D40" s="324">
        <v>12934544</v>
      </c>
      <c r="E40" s="325">
        <f>IF(ISBLANK(D40),"-",$D$48/$D$45*D40)</f>
        <v>14575066.888787925</v>
      </c>
      <c r="F40" s="324">
        <v>14107408</v>
      </c>
      <c r="G40" s="326">
        <f>IF(ISBLANK(F40),"-",$D$48/$F$45*F40)</f>
        <v>14307019.536574284</v>
      </c>
      <c r="I40" s="504"/>
      <c r="L40" s="304"/>
      <c r="M40" s="304"/>
      <c r="N40" s="327"/>
    </row>
    <row r="41" spans="1:14" ht="27" customHeight="1" x14ac:dyDescent="0.4">
      <c r="A41" s="311" t="s">
        <v>69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70</v>
      </c>
      <c r="B42" s="312">
        <v>1</v>
      </c>
      <c r="C42" s="333" t="s">
        <v>71</v>
      </c>
      <c r="D42" s="334">
        <f>AVERAGE(D38:D41)</f>
        <v>12915705.666666666</v>
      </c>
      <c r="E42" s="335">
        <f>AVERAGE(E38:E41)</f>
        <v>14553839.239138536</v>
      </c>
      <c r="F42" s="334">
        <f>AVERAGE(F38:F41)</f>
        <v>14094750</v>
      </c>
      <c r="G42" s="336">
        <f>AVERAGE(G38:G41)</f>
        <v>14294182.433309533</v>
      </c>
      <c r="H42" s="337"/>
    </row>
    <row r="43" spans="1:14" ht="26.25" customHeight="1" x14ac:dyDescent="0.4">
      <c r="A43" s="311" t="s">
        <v>72</v>
      </c>
      <c r="B43" s="312">
        <v>1</v>
      </c>
      <c r="C43" s="338" t="s">
        <v>73</v>
      </c>
      <c r="D43" s="339">
        <v>11.16</v>
      </c>
      <c r="E43" s="327"/>
      <c r="F43" s="339">
        <v>12.4</v>
      </c>
      <c r="H43" s="337"/>
    </row>
    <row r="44" spans="1:14" ht="26.25" customHeight="1" x14ac:dyDescent="0.4">
      <c r="A44" s="311" t="s">
        <v>74</v>
      </c>
      <c r="B44" s="312">
        <v>1</v>
      </c>
      <c r="C44" s="340" t="s">
        <v>75</v>
      </c>
      <c r="D44" s="341">
        <f>D43*$B$34</f>
        <v>11.16</v>
      </c>
      <c r="E44" s="342"/>
      <c r="F44" s="341">
        <f>F43*$B$34</f>
        <v>12.4</v>
      </c>
      <c r="H44" s="337"/>
    </row>
    <row r="45" spans="1:14" ht="19.5" customHeight="1" x14ac:dyDescent="0.3">
      <c r="A45" s="311" t="s">
        <v>76</v>
      </c>
      <c r="B45" s="343">
        <f>(B44/B43)*(B42/B41)*(B40/B39)*(B38/B37)*B36</f>
        <v>50</v>
      </c>
      <c r="C45" s="340" t="s">
        <v>77</v>
      </c>
      <c r="D45" s="344">
        <f>D44*$B$30/100</f>
        <v>11.09304</v>
      </c>
      <c r="E45" s="345"/>
      <c r="F45" s="344">
        <f>F44*$B$30/100</f>
        <v>12.325600000000001</v>
      </c>
      <c r="H45" s="337"/>
    </row>
    <row r="46" spans="1:14" ht="19.5" customHeight="1" x14ac:dyDescent="0.3">
      <c r="A46" s="505" t="s">
        <v>78</v>
      </c>
      <c r="B46" s="506"/>
      <c r="C46" s="340" t="s">
        <v>79</v>
      </c>
      <c r="D46" s="346">
        <f>D45/$B$45</f>
        <v>0.2218608</v>
      </c>
      <c r="E46" s="347"/>
      <c r="F46" s="348">
        <f>F45/$B$45</f>
        <v>0.24651200000000004</v>
      </c>
      <c r="H46" s="337"/>
    </row>
    <row r="47" spans="1:14" ht="27" customHeight="1" x14ac:dyDescent="0.4">
      <c r="A47" s="507"/>
      <c r="B47" s="508"/>
      <c r="C47" s="349" t="s">
        <v>80</v>
      </c>
      <c r="D47" s="350">
        <v>0.25</v>
      </c>
      <c r="E47" s="351"/>
      <c r="F47" s="347"/>
      <c r="H47" s="337"/>
    </row>
    <row r="48" spans="1:14" ht="18.75" x14ac:dyDescent="0.3">
      <c r="C48" s="352" t="s">
        <v>81</v>
      </c>
      <c r="D48" s="344">
        <f>D47*$B$45</f>
        <v>12.5</v>
      </c>
      <c r="F48" s="353"/>
      <c r="H48" s="337"/>
    </row>
    <row r="49" spans="1:12" ht="19.5" customHeight="1" x14ac:dyDescent="0.3">
      <c r="C49" s="354" t="s">
        <v>82</v>
      </c>
      <c r="D49" s="355">
        <f>D48/B34</f>
        <v>12.5</v>
      </c>
      <c r="F49" s="353"/>
      <c r="H49" s="337"/>
    </row>
    <row r="50" spans="1:12" ht="18.75" x14ac:dyDescent="0.3">
      <c r="C50" s="309" t="s">
        <v>83</v>
      </c>
      <c r="D50" s="356">
        <f>AVERAGE(E38:E41,G38:G41)</f>
        <v>14424010.836224034</v>
      </c>
      <c r="F50" s="357"/>
      <c r="H50" s="337"/>
    </row>
    <row r="51" spans="1:12" ht="18.75" x14ac:dyDescent="0.3">
      <c r="C51" s="311" t="s">
        <v>84</v>
      </c>
      <c r="D51" s="358">
        <f>STDEV(E38:E41,G38:G41)/D50</f>
        <v>9.9231811154551781E-3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85</v>
      </c>
    </row>
    <row r="55" spans="1:12" ht="18.75" x14ac:dyDescent="0.3">
      <c r="A55" s="286" t="s">
        <v>86</v>
      </c>
      <c r="B55" s="363" t="str">
        <f>B21</f>
        <v>Each film-coated tablet contains Lopinavir 200 mg, Ritonavir 50 mg</v>
      </c>
    </row>
    <row r="56" spans="1:12" ht="26.25" customHeight="1" x14ac:dyDescent="0.4">
      <c r="A56" s="364" t="s">
        <v>87</v>
      </c>
      <c r="B56" s="365">
        <v>50</v>
      </c>
      <c r="C56" s="286" t="str">
        <f>B20</f>
        <v xml:space="preserve">Ritonavir </v>
      </c>
      <c r="H56" s="366"/>
    </row>
    <row r="57" spans="1:12" ht="18.75" x14ac:dyDescent="0.3">
      <c r="A57" s="363" t="s">
        <v>88</v>
      </c>
      <c r="B57" s="434">
        <f>Uniformity!C46</f>
        <v>1258.5785000000001</v>
      </c>
      <c r="H57" s="366"/>
    </row>
    <row r="58" spans="1:12" ht="19.5" customHeight="1" x14ac:dyDescent="0.3">
      <c r="H58" s="366"/>
    </row>
    <row r="59" spans="1:12" s="14" customFormat="1" ht="27" customHeight="1" x14ac:dyDescent="0.4">
      <c r="A59" s="309" t="s">
        <v>89</v>
      </c>
      <c r="B59" s="310">
        <v>200</v>
      </c>
      <c r="C59" s="286"/>
      <c r="D59" s="367" t="s">
        <v>90</v>
      </c>
      <c r="E59" s="368" t="s">
        <v>62</v>
      </c>
      <c r="F59" s="368" t="s">
        <v>63</v>
      </c>
      <c r="G59" s="368" t="s">
        <v>91</v>
      </c>
      <c r="H59" s="313" t="s">
        <v>92</v>
      </c>
      <c r="L59" s="299"/>
    </row>
    <row r="60" spans="1:12" s="14" customFormat="1" ht="26.25" customHeight="1" x14ac:dyDescent="0.4">
      <c r="A60" s="311" t="s">
        <v>93</v>
      </c>
      <c r="B60" s="312">
        <v>1</v>
      </c>
      <c r="C60" s="509" t="s">
        <v>94</v>
      </c>
      <c r="D60" s="512">
        <v>1276.78</v>
      </c>
      <c r="E60" s="369">
        <v>1</v>
      </c>
      <c r="F60" s="370">
        <v>15768577</v>
      </c>
      <c r="G60" s="435">
        <f>IF(ISBLANK(F60),"-",(F60/$D$50*$D$47*$B$68)*($B$57/$D$60))</f>
        <v>53.881627473455843</v>
      </c>
      <c r="H60" s="453">
        <f t="shared" ref="H60:H71" si="0">IF(ISBLANK(F60),"-",(G60/$B$56)*100)</f>
        <v>107.76325494691167</v>
      </c>
      <c r="L60" s="299"/>
    </row>
    <row r="61" spans="1:12" s="14" customFormat="1" ht="26.25" customHeight="1" x14ac:dyDescent="0.4">
      <c r="A61" s="311" t="s">
        <v>95</v>
      </c>
      <c r="B61" s="312">
        <v>1</v>
      </c>
      <c r="C61" s="510"/>
      <c r="D61" s="513"/>
      <c r="E61" s="371">
        <v>2</v>
      </c>
      <c r="F61" s="324">
        <v>15781294</v>
      </c>
      <c r="G61" s="436">
        <f>IF(ISBLANK(F61),"-",(F61/$D$50*$D$47*$B$68)*($B$57/$D$60))</f>
        <v>53.925081784937461</v>
      </c>
      <c r="H61" s="454">
        <f t="shared" si="0"/>
        <v>107.85016356987491</v>
      </c>
      <c r="L61" s="299"/>
    </row>
    <row r="62" spans="1:12" s="14" customFormat="1" ht="26.25" customHeight="1" x14ac:dyDescent="0.4">
      <c r="A62" s="311" t="s">
        <v>96</v>
      </c>
      <c r="B62" s="312">
        <v>1</v>
      </c>
      <c r="C62" s="510"/>
      <c r="D62" s="513"/>
      <c r="E62" s="371">
        <v>3</v>
      </c>
      <c r="F62" s="372">
        <v>15747099</v>
      </c>
      <c r="G62" s="436">
        <f>IF(ISBLANK(F62),"-",(F62/$D$50*$D$47*$B$68)*($B$57/$D$60))</f>
        <v>53.808236602810076</v>
      </c>
      <c r="H62" s="454">
        <f t="shared" si="0"/>
        <v>107.61647320562015</v>
      </c>
      <c r="L62" s="299"/>
    </row>
    <row r="63" spans="1:12" ht="27" customHeight="1" x14ac:dyDescent="0.4">
      <c r="A63" s="311" t="s">
        <v>97</v>
      </c>
      <c r="B63" s="312">
        <v>1</v>
      </c>
      <c r="C63" s="511"/>
      <c r="D63" s="514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98</v>
      </c>
      <c r="B64" s="312">
        <v>1</v>
      </c>
      <c r="C64" s="509" t="s">
        <v>99</v>
      </c>
      <c r="D64" s="512">
        <v>1246.21</v>
      </c>
      <c r="E64" s="369">
        <v>1</v>
      </c>
      <c r="F64" s="370">
        <v>15157710</v>
      </c>
      <c r="G64" s="435">
        <f>IF(ISBLANK(F64),"-",(F64/$D$50*$D$47*$B$68)*($B$57/$D$64))</f>
        <v>53.064812598506215</v>
      </c>
      <c r="H64" s="453">
        <f t="shared" si="0"/>
        <v>106.12962519701243</v>
      </c>
    </row>
    <row r="65" spans="1:8" ht="26.25" customHeight="1" x14ac:dyDescent="0.4">
      <c r="A65" s="311" t="s">
        <v>100</v>
      </c>
      <c r="B65" s="312">
        <v>1</v>
      </c>
      <c r="C65" s="510"/>
      <c r="D65" s="513"/>
      <c r="E65" s="371">
        <v>2</v>
      </c>
      <c r="F65" s="324">
        <v>15191949</v>
      </c>
      <c r="G65" s="436">
        <f>IF(ISBLANK(F65),"-",(F65/$D$50*$D$47*$B$68)*($B$57/$D$64))</f>
        <v>53.184678074132819</v>
      </c>
      <c r="H65" s="454">
        <f t="shared" si="0"/>
        <v>106.36935614826564</v>
      </c>
    </row>
    <row r="66" spans="1:8" ht="26.25" customHeight="1" x14ac:dyDescent="0.4">
      <c r="A66" s="311" t="s">
        <v>101</v>
      </c>
      <c r="B66" s="312">
        <v>1</v>
      </c>
      <c r="C66" s="510"/>
      <c r="D66" s="513"/>
      <c r="E66" s="371">
        <v>3</v>
      </c>
      <c r="F66" s="324">
        <v>15183776</v>
      </c>
      <c r="G66" s="436">
        <f>IF(ISBLANK(F66),"-",(F66/$D$50*$D$47*$B$68)*($B$57/$D$64))</f>
        <v>53.156065657523222</v>
      </c>
      <c r="H66" s="454">
        <f t="shared" si="0"/>
        <v>106.31213131504644</v>
      </c>
    </row>
    <row r="67" spans="1:8" ht="27" customHeight="1" x14ac:dyDescent="0.4">
      <c r="A67" s="311" t="s">
        <v>102</v>
      </c>
      <c r="B67" s="312">
        <v>1</v>
      </c>
      <c r="C67" s="511"/>
      <c r="D67" s="514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103</v>
      </c>
      <c r="B68" s="375">
        <f>(B67/B66)*(B65/B64)*(B63/B62)*(B61/B60)*B59</f>
        <v>200</v>
      </c>
      <c r="C68" s="509" t="s">
        <v>104</v>
      </c>
      <c r="D68" s="512">
        <v>1264.8</v>
      </c>
      <c r="E68" s="369">
        <v>1</v>
      </c>
      <c r="F68" s="370">
        <v>15505632</v>
      </c>
      <c r="G68" s="435">
        <f>IF(ISBLANK(F68),"-",(F68/$D$50*$D$47*$B$68)*($B$57/$D$68))</f>
        <v>53.484986246412582</v>
      </c>
      <c r="H68" s="454">
        <f t="shared" si="0"/>
        <v>106.96997249282516</v>
      </c>
    </row>
    <row r="69" spans="1:8" ht="27" customHeight="1" x14ac:dyDescent="0.4">
      <c r="A69" s="359" t="s">
        <v>105</v>
      </c>
      <c r="B69" s="376">
        <f>(D47*B68)/B56*B57</f>
        <v>1258.5785000000001</v>
      </c>
      <c r="C69" s="510"/>
      <c r="D69" s="513"/>
      <c r="E69" s="371">
        <v>2</v>
      </c>
      <c r="F69" s="324">
        <v>15505820</v>
      </c>
      <c r="G69" s="436">
        <f>IF(ISBLANK(F69),"-",(F69/$D$50*$D$47*$B$68)*($B$57/$D$68))</f>
        <v>53.485634731905741</v>
      </c>
      <c r="H69" s="454">
        <f t="shared" si="0"/>
        <v>106.97126946381148</v>
      </c>
    </row>
    <row r="70" spans="1:8" ht="26.25" customHeight="1" x14ac:dyDescent="0.4">
      <c r="A70" s="522" t="s">
        <v>78</v>
      </c>
      <c r="B70" s="523"/>
      <c r="C70" s="510"/>
      <c r="D70" s="513"/>
      <c r="E70" s="371">
        <v>3</v>
      </c>
      <c r="F70" s="324">
        <v>15503644</v>
      </c>
      <c r="G70" s="436">
        <f>IF(ISBLANK(F70),"-",(F70/$D$50*$D$47*$B$68)*($B$57/$D$68))</f>
        <v>53.478128857261474</v>
      </c>
      <c r="H70" s="454">
        <f t="shared" si="0"/>
        <v>106.95625771452295</v>
      </c>
    </row>
    <row r="71" spans="1:8" ht="27" customHeight="1" x14ac:dyDescent="0.4">
      <c r="A71" s="524"/>
      <c r="B71" s="525"/>
      <c r="C71" s="521"/>
      <c r="D71" s="514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71</v>
      </c>
      <c r="G72" s="441">
        <f>AVERAGE(G60:G71)</f>
        <v>53.496583558549496</v>
      </c>
      <c r="H72" s="456">
        <f>AVERAGE(H60:H71)</f>
        <v>106.99316711709899</v>
      </c>
    </row>
    <row r="73" spans="1:8" ht="26.25" customHeight="1" x14ac:dyDescent="0.4">
      <c r="C73" s="377"/>
      <c r="D73" s="377"/>
      <c r="E73" s="377"/>
      <c r="F73" s="380" t="s">
        <v>84</v>
      </c>
      <c r="G73" s="440">
        <f>STDEV(G60:G71)/G72</f>
        <v>6.0182913008496623E-3</v>
      </c>
      <c r="H73" s="440">
        <f>STDEV(H60:H71)/H72</f>
        <v>6.0182913008496198E-3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9</v>
      </c>
      <c r="H74" s="383">
        <f>COUNT(H60:H71)</f>
        <v>9</v>
      </c>
    </row>
    <row r="76" spans="1:8" ht="26.25" customHeight="1" x14ac:dyDescent="0.4">
      <c r="A76" s="295" t="s">
        <v>106</v>
      </c>
      <c r="B76" s="384" t="s">
        <v>107</v>
      </c>
      <c r="C76" s="517" t="str">
        <f>B26</f>
        <v xml:space="preserve">Ritonavir </v>
      </c>
      <c r="D76" s="517"/>
      <c r="E76" s="385" t="s">
        <v>108</v>
      </c>
      <c r="F76" s="385"/>
      <c r="G76" s="386">
        <f>H72</f>
        <v>106.99316711709899</v>
      </c>
      <c r="H76" s="387"/>
    </row>
    <row r="77" spans="1:8" ht="18.75" x14ac:dyDescent="0.3">
      <c r="A77" s="294" t="s">
        <v>109</v>
      </c>
      <c r="B77" s="294" t="s">
        <v>110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503" t="str">
        <f>B26</f>
        <v xml:space="preserve">Ritonavir </v>
      </c>
      <c r="C79" s="503"/>
    </row>
    <row r="80" spans="1:8" ht="26.25" customHeight="1" x14ac:dyDescent="0.4">
      <c r="A80" s="296" t="s">
        <v>48</v>
      </c>
      <c r="B80" s="503" t="str">
        <f>B27</f>
        <v>R14-2</v>
      </c>
      <c r="C80" s="503"/>
    </row>
    <row r="81" spans="1:12" ht="27" customHeight="1" x14ac:dyDescent="0.4">
      <c r="A81" s="296" t="s">
        <v>6</v>
      </c>
      <c r="B81" s="388">
        <f>B28</f>
        <v>99.4</v>
      </c>
    </row>
    <row r="82" spans="1:12" s="14" customFormat="1" ht="27" customHeight="1" x14ac:dyDescent="0.4">
      <c r="A82" s="296" t="s">
        <v>49</v>
      </c>
      <c r="B82" s="298">
        <v>0</v>
      </c>
      <c r="C82" s="494" t="s">
        <v>50</v>
      </c>
      <c r="D82" s="495"/>
      <c r="E82" s="495"/>
      <c r="F82" s="495"/>
      <c r="G82" s="496"/>
      <c r="I82" s="299"/>
      <c r="J82" s="299"/>
      <c r="K82" s="299"/>
      <c r="L82" s="299"/>
    </row>
    <row r="83" spans="1:12" s="14" customFormat="1" ht="19.5" customHeight="1" x14ac:dyDescent="0.3">
      <c r="A83" s="296" t="s">
        <v>51</v>
      </c>
      <c r="B83" s="300">
        <f>B81-B82</f>
        <v>99.4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52</v>
      </c>
      <c r="B84" s="303">
        <v>1</v>
      </c>
      <c r="C84" s="497" t="s">
        <v>111</v>
      </c>
      <c r="D84" s="498"/>
      <c r="E84" s="498"/>
      <c r="F84" s="498"/>
      <c r="G84" s="498"/>
      <c r="H84" s="499"/>
      <c r="I84" s="299"/>
      <c r="J84" s="299"/>
      <c r="K84" s="299"/>
      <c r="L84" s="299"/>
    </row>
    <row r="85" spans="1:12" s="14" customFormat="1" ht="27" customHeight="1" x14ac:dyDescent="0.4">
      <c r="A85" s="296" t="s">
        <v>54</v>
      </c>
      <c r="B85" s="303">
        <v>1</v>
      </c>
      <c r="C85" s="497" t="s">
        <v>112</v>
      </c>
      <c r="D85" s="498"/>
      <c r="E85" s="498"/>
      <c r="F85" s="498"/>
      <c r="G85" s="498"/>
      <c r="H85" s="499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56</v>
      </c>
      <c r="B87" s="308">
        <f>B84/B85</f>
        <v>1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58</v>
      </c>
      <c r="B89" s="310">
        <v>25</v>
      </c>
      <c r="D89" s="389" t="s">
        <v>59</v>
      </c>
      <c r="E89" s="390"/>
      <c r="F89" s="500" t="s">
        <v>60</v>
      </c>
      <c r="G89" s="502"/>
    </row>
    <row r="90" spans="1:12" ht="27" customHeight="1" x14ac:dyDescent="0.4">
      <c r="A90" s="311" t="s">
        <v>61</v>
      </c>
      <c r="B90" s="312">
        <v>10</v>
      </c>
      <c r="C90" s="391" t="s">
        <v>62</v>
      </c>
      <c r="D90" s="314" t="s">
        <v>63</v>
      </c>
      <c r="E90" s="315" t="s">
        <v>64</v>
      </c>
      <c r="F90" s="314" t="s">
        <v>63</v>
      </c>
      <c r="G90" s="392" t="s">
        <v>64</v>
      </c>
      <c r="I90" s="317" t="s">
        <v>65</v>
      </c>
    </row>
    <row r="91" spans="1:12" ht="26.25" customHeight="1" x14ac:dyDescent="0.4">
      <c r="A91" s="311" t="s">
        <v>66</v>
      </c>
      <c r="B91" s="312">
        <v>20</v>
      </c>
      <c r="C91" s="393">
        <v>1</v>
      </c>
      <c r="D91" s="319">
        <v>2687177</v>
      </c>
      <c r="E91" s="320">
        <f>IF(ISBLANK(D91),"-",$D$101/$D$98*D91)</f>
        <v>3364443.1803885833</v>
      </c>
      <c r="F91" s="319">
        <v>2901093</v>
      </c>
      <c r="G91" s="321">
        <f>IF(ISBLANK(F91),"-",$D$101/$F$98*F91)</f>
        <v>3269046.4020683235</v>
      </c>
      <c r="I91" s="322"/>
    </row>
    <row r="92" spans="1:12" ht="26.25" customHeight="1" x14ac:dyDescent="0.4">
      <c r="A92" s="311" t="s">
        <v>67</v>
      </c>
      <c r="B92" s="312">
        <v>2</v>
      </c>
      <c r="C92" s="378">
        <v>2</v>
      </c>
      <c r="D92" s="324">
        <v>2683142</v>
      </c>
      <c r="E92" s="325">
        <f>IF(ISBLANK(D92),"-",$D$101/$D$98*D92)</f>
        <v>3359391.213870238</v>
      </c>
      <c r="F92" s="324">
        <v>2899312</v>
      </c>
      <c r="G92" s="326">
        <f>IF(ISBLANK(F92),"-",$D$101/$F$98*F92)</f>
        <v>3267039.5130640469</v>
      </c>
      <c r="I92" s="504">
        <f>ABS((F96/D96*D95)-F95)/D95</f>
        <v>2.9994217206888461E-2</v>
      </c>
    </row>
    <row r="93" spans="1:12" ht="26.25" customHeight="1" x14ac:dyDescent="0.4">
      <c r="A93" s="311" t="s">
        <v>68</v>
      </c>
      <c r="B93" s="312">
        <v>10</v>
      </c>
      <c r="C93" s="378">
        <v>3</v>
      </c>
      <c r="D93" s="324">
        <v>2679040</v>
      </c>
      <c r="E93" s="325">
        <f>IF(ISBLANK(D93),"-",$D$101/$D$98*D93)</f>
        <v>3354255.3609189983</v>
      </c>
      <c r="F93" s="324">
        <v>2901893</v>
      </c>
      <c r="G93" s="326">
        <f>IF(ISBLANK(F93),"-",$D$101/$F$98*F93)</f>
        <v>3269947.868212861</v>
      </c>
      <c r="I93" s="504"/>
    </row>
    <row r="94" spans="1:12" ht="27" customHeight="1" x14ac:dyDescent="0.4">
      <c r="A94" s="311" t="s">
        <v>69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70</v>
      </c>
      <c r="B95" s="312">
        <v>1</v>
      </c>
      <c r="C95" s="396" t="s">
        <v>71</v>
      </c>
      <c r="D95" s="397">
        <f>AVERAGE(D91:D94)</f>
        <v>2683119.6666666665</v>
      </c>
      <c r="E95" s="335">
        <f>AVERAGE(E91:E94)</f>
        <v>3359363.25172594</v>
      </c>
      <c r="F95" s="398">
        <f>AVERAGE(F91:F94)</f>
        <v>2900766</v>
      </c>
      <c r="G95" s="399">
        <f>AVERAGE(G91:G94)</f>
        <v>3268677.9277817435</v>
      </c>
    </row>
    <row r="96" spans="1:12" ht="26.25" customHeight="1" x14ac:dyDescent="0.4">
      <c r="A96" s="311" t="s">
        <v>72</v>
      </c>
      <c r="B96" s="297">
        <v>1</v>
      </c>
      <c r="C96" s="400" t="s">
        <v>113</v>
      </c>
      <c r="D96" s="401">
        <v>11.16</v>
      </c>
      <c r="E96" s="327"/>
      <c r="F96" s="339">
        <v>12.4</v>
      </c>
    </row>
    <row r="97" spans="1:10" ht="26.25" customHeight="1" x14ac:dyDescent="0.4">
      <c r="A97" s="311" t="s">
        <v>74</v>
      </c>
      <c r="B97" s="297">
        <v>1</v>
      </c>
      <c r="C97" s="402" t="s">
        <v>114</v>
      </c>
      <c r="D97" s="403">
        <f>D96*$B$87</f>
        <v>11.16</v>
      </c>
      <c r="E97" s="342"/>
      <c r="F97" s="341">
        <f>F96*$B$87</f>
        <v>12.4</v>
      </c>
    </row>
    <row r="98" spans="1:10" ht="19.5" customHeight="1" x14ac:dyDescent="0.3">
      <c r="A98" s="311" t="s">
        <v>76</v>
      </c>
      <c r="B98" s="404">
        <f>(B97/B96)*(B95/B94)*(B93/B92)*(B91/B90)*B89</f>
        <v>250</v>
      </c>
      <c r="C98" s="402" t="s">
        <v>115</v>
      </c>
      <c r="D98" s="405">
        <f>D97*$B$83/100</f>
        <v>11.09304</v>
      </c>
      <c r="E98" s="345"/>
      <c r="F98" s="344">
        <f>F97*$B$83/100</f>
        <v>12.325600000000001</v>
      </c>
    </row>
    <row r="99" spans="1:10" ht="19.5" customHeight="1" x14ac:dyDescent="0.3">
      <c r="A99" s="505" t="s">
        <v>78</v>
      </c>
      <c r="B99" s="519"/>
      <c r="C99" s="402" t="s">
        <v>116</v>
      </c>
      <c r="D99" s="406">
        <f>D98/$B$98</f>
        <v>4.4372160000000001E-2</v>
      </c>
      <c r="E99" s="345"/>
      <c r="F99" s="348">
        <f>F98/$B$98</f>
        <v>4.9302400000000003E-2</v>
      </c>
      <c r="G99" s="407"/>
      <c r="H99" s="337"/>
    </row>
    <row r="100" spans="1:10" ht="19.5" customHeight="1" x14ac:dyDescent="0.3">
      <c r="A100" s="507"/>
      <c r="B100" s="520"/>
      <c r="C100" s="402" t="s">
        <v>80</v>
      </c>
      <c r="D100" s="408">
        <f>$B$56/$B$116</f>
        <v>5.5555555555555552E-2</v>
      </c>
      <c r="F100" s="353"/>
      <c r="G100" s="409"/>
      <c r="H100" s="337"/>
    </row>
    <row r="101" spans="1:10" ht="18.75" x14ac:dyDescent="0.3">
      <c r="C101" s="402" t="s">
        <v>81</v>
      </c>
      <c r="D101" s="403">
        <f>D100*$B$98</f>
        <v>13.888888888888888</v>
      </c>
      <c r="F101" s="353"/>
      <c r="G101" s="407"/>
      <c r="H101" s="337"/>
    </row>
    <row r="102" spans="1:10" ht="19.5" customHeight="1" x14ac:dyDescent="0.3">
      <c r="C102" s="410" t="s">
        <v>82</v>
      </c>
      <c r="D102" s="411">
        <f>D101/B34</f>
        <v>13.888888888888888</v>
      </c>
      <c r="F102" s="357"/>
      <c r="G102" s="407"/>
      <c r="H102" s="337"/>
      <c r="J102" s="412"/>
    </row>
    <row r="103" spans="1:10" ht="18.75" x14ac:dyDescent="0.3">
      <c r="C103" s="413" t="s">
        <v>117</v>
      </c>
      <c r="D103" s="414">
        <f>AVERAGE(E91:E94,G91:G94)</f>
        <v>3314020.589753842</v>
      </c>
      <c r="F103" s="357"/>
      <c r="G103" s="415"/>
      <c r="H103" s="337"/>
      <c r="J103" s="416"/>
    </row>
    <row r="104" spans="1:10" ht="18.75" x14ac:dyDescent="0.3">
      <c r="C104" s="380" t="s">
        <v>84</v>
      </c>
      <c r="D104" s="417">
        <f>STDEV(E91:E94,G91:G94)/D103</f>
        <v>1.5022138362637674E-2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6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118</v>
      </c>
      <c r="B107" s="310">
        <v>900</v>
      </c>
      <c r="C107" s="457" t="s">
        <v>119</v>
      </c>
      <c r="D107" s="457" t="s">
        <v>63</v>
      </c>
      <c r="E107" s="457" t="s">
        <v>120</v>
      </c>
      <c r="F107" s="419" t="s">
        <v>121</v>
      </c>
    </row>
    <row r="108" spans="1:10" ht="26.25" customHeight="1" x14ac:dyDescent="0.4">
      <c r="A108" s="311" t="s">
        <v>122</v>
      </c>
      <c r="B108" s="312">
        <v>1</v>
      </c>
      <c r="C108" s="462">
        <v>1</v>
      </c>
      <c r="D108" s="463">
        <v>3353226</v>
      </c>
      <c r="E108" s="437">
        <f t="shared" ref="E108:E113" si="1">IF(ISBLANK(D108),"-",D108/$D$103*$D$100*$B$116)</f>
        <v>50.591508247826994</v>
      </c>
      <c r="F108" s="464">
        <f t="shared" ref="F108:F113" si="2">IF(ISBLANK(D108), "-", (E108/$B$56)*100)</f>
        <v>101.18301649565397</v>
      </c>
    </row>
    <row r="109" spans="1:10" ht="26.25" customHeight="1" x14ac:dyDescent="0.4">
      <c r="A109" s="311" t="s">
        <v>95</v>
      </c>
      <c r="B109" s="312">
        <v>1</v>
      </c>
      <c r="C109" s="458">
        <v>2</v>
      </c>
      <c r="D109" s="460">
        <v>3391262</v>
      </c>
      <c r="E109" s="438">
        <f t="shared" si="1"/>
        <v>51.165373119360972</v>
      </c>
      <c r="F109" s="465">
        <f t="shared" si="2"/>
        <v>102.33074623872194</v>
      </c>
    </row>
    <row r="110" spans="1:10" ht="26.25" customHeight="1" x14ac:dyDescent="0.4">
      <c r="A110" s="311" t="s">
        <v>96</v>
      </c>
      <c r="B110" s="312">
        <v>1</v>
      </c>
      <c r="C110" s="458">
        <v>3</v>
      </c>
      <c r="D110" s="460">
        <v>3376054</v>
      </c>
      <c r="E110" s="438">
        <f t="shared" si="1"/>
        <v>50.935923730195739</v>
      </c>
      <c r="F110" s="465">
        <f t="shared" si="2"/>
        <v>101.87184746039148</v>
      </c>
    </row>
    <row r="111" spans="1:10" ht="26.25" customHeight="1" x14ac:dyDescent="0.4">
      <c r="A111" s="311" t="s">
        <v>97</v>
      </c>
      <c r="B111" s="312">
        <v>1</v>
      </c>
      <c r="C111" s="458">
        <v>4</v>
      </c>
      <c r="D111" s="460">
        <v>3345027</v>
      </c>
      <c r="E111" s="438">
        <f t="shared" si="1"/>
        <v>50.467806542029678</v>
      </c>
      <c r="F111" s="465">
        <f t="shared" si="2"/>
        <v>100.93561308405936</v>
      </c>
    </row>
    <row r="112" spans="1:10" ht="26.25" customHeight="1" x14ac:dyDescent="0.4">
      <c r="A112" s="311" t="s">
        <v>98</v>
      </c>
      <c r="B112" s="312">
        <v>1</v>
      </c>
      <c r="C112" s="458">
        <v>5</v>
      </c>
      <c r="D112" s="460">
        <v>3445462</v>
      </c>
      <c r="E112" s="438">
        <f t="shared" si="1"/>
        <v>51.983110947658915</v>
      </c>
      <c r="F112" s="465">
        <f t="shared" si="2"/>
        <v>103.96622189531783</v>
      </c>
    </row>
    <row r="113" spans="1:10" ht="27" customHeight="1" x14ac:dyDescent="0.4">
      <c r="A113" s="311" t="s">
        <v>100</v>
      </c>
      <c r="B113" s="312">
        <v>1</v>
      </c>
      <c r="C113" s="459">
        <v>6</v>
      </c>
      <c r="D113" s="461">
        <v>3450707</v>
      </c>
      <c r="E113" s="439">
        <f t="shared" si="1"/>
        <v>52.062244433072621</v>
      </c>
      <c r="F113" s="466">
        <f t="shared" si="2"/>
        <v>104.12448886614524</v>
      </c>
    </row>
    <row r="114" spans="1:10" ht="27" customHeight="1" x14ac:dyDescent="0.4">
      <c r="A114" s="311" t="s">
        <v>101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102</v>
      </c>
      <c r="B115" s="312">
        <v>1</v>
      </c>
      <c r="C115" s="420"/>
      <c r="D115" s="444" t="s">
        <v>71</v>
      </c>
      <c r="E115" s="446">
        <f>AVERAGE(E108:E113)</f>
        <v>51.200994503357492</v>
      </c>
      <c r="F115" s="468">
        <f>AVERAGE(F108:F113)</f>
        <v>102.40198900671498</v>
      </c>
    </row>
    <row r="116" spans="1:10" ht="27" customHeight="1" x14ac:dyDescent="0.4">
      <c r="A116" s="311" t="s">
        <v>103</v>
      </c>
      <c r="B116" s="343">
        <f>(B115/B114)*(B113/B112)*(B111/B110)*(B109/B108)*B107</f>
        <v>900</v>
      </c>
      <c r="C116" s="421"/>
      <c r="D116" s="445" t="s">
        <v>84</v>
      </c>
      <c r="E116" s="443">
        <f>STDEV(E108:E113)/E115</f>
        <v>1.3344107872295329E-2</v>
      </c>
      <c r="F116" s="422">
        <f>STDEV(F108:F113)/F115</f>
        <v>1.3344107872295355E-2</v>
      </c>
      <c r="I116" s="285"/>
    </row>
    <row r="117" spans="1:10" ht="27" customHeight="1" x14ac:dyDescent="0.4">
      <c r="A117" s="505" t="s">
        <v>78</v>
      </c>
      <c r="B117" s="506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">
      <c r="A118" s="507"/>
      <c r="B118" s="508"/>
      <c r="C118" s="285"/>
      <c r="D118" s="447"/>
      <c r="E118" s="485" t="s">
        <v>123</v>
      </c>
      <c r="F118" s="486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124</v>
      </c>
      <c r="E119" s="450">
        <f>MIN(E108:E113)</f>
        <v>50.467806542029678</v>
      </c>
      <c r="F119" s="469">
        <f>MIN(F108:F113)</f>
        <v>100.93561308405936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125</v>
      </c>
      <c r="E120" s="451">
        <f>MAX(E108:E113)</f>
        <v>52.062244433072621</v>
      </c>
      <c r="F120" s="470">
        <f>MAX(F108:F113)</f>
        <v>104.12448886614524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106</v>
      </c>
      <c r="B124" s="384" t="s">
        <v>126</v>
      </c>
      <c r="C124" s="517" t="str">
        <f>B26</f>
        <v xml:space="preserve">Ritonavir </v>
      </c>
      <c r="D124" s="517"/>
      <c r="E124" s="385" t="s">
        <v>127</v>
      </c>
      <c r="F124" s="385"/>
      <c r="G124" s="471">
        <f>F115</f>
        <v>102.40198900671498</v>
      </c>
      <c r="H124" s="285"/>
      <c r="I124" s="285"/>
    </row>
    <row r="125" spans="1:10" ht="45.75" customHeight="1" x14ac:dyDescent="0.65">
      <c r="A125" s="295"/>
      <c r="B125" s="384" t="s">
        <v>128</v>
      </c>
      <c r="C125" s="296" t="s">
        <v>129</v>
      </c>
      <c r="D125" s="471">
        <f>MIN(F108:F113)</f>
        <v>100.93561308405936</v>
      </c>
      <c r="E125" s="396" t="s">
        <v>130</v>
      </c>
      <c r="F125" s="471">
        <f>MAX(F108:F113)</f>
        <v>104.12448886614524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518" t="s">
        <v>26</v>
      </c>
      <c r="C127" s="518"/>
      <c r="E127" s="391" t="s">
        <v>27</v>
      </c>
      <c r="F127" s="426"/>
      <c r="G127" s="518" t="s">
        <v>28</v>
      </c>
      <c r="H127" s="518"/>
    </row>
    <row r="128" spans="1:10" ht="69.95" customHeight="1" x14ac:dyDescent="0.3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30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Uniformity</vt:lpstr>
      <vt:lpstr>SST Lopinavir</vt:lpstr>
      <vt:lpstr>SST Ritonavir</vt:lpstr>
      <vt:lpstr>Lopinavir</vt:lpstr>
      <vt:lpstr>Ritonavir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2017-03-30T09:27:38Z</dcterms:modified>
</cp:coreProperties>
</file>