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642" activeTab="4"/>
  </bookViews>
  <sheets>
    <sheet name="SST R" sheetId="14" r:id="rId1"/>
    <sheet name="SST A" sheetId="12" r:id="rId2"/>
    <sheet name="Uniformity (2)" sheetId="13" r:id="rId3"/>
    <sheet name="Ritonavir" sheetId="11" r:id="rId4"/>
    <sheet name="Atazanavir " sheetId="6" r:id="rId5"/>
  </sheets>
  <definedNames>
    <definedName name="_xlnm.Print_Area" localSheetId="4">'Atazanavir '!$A$1:$H$140</definedName>
    <definedName name="_xlnm.Print_Area" localSheetId="3">Ritonavir!$A$1:$H$140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F98" i="11" l="1"/>
  <c r="D98" i="11"/>
  <c r="B21" i="12"/>
  <c r="B21" i="14"/>
  <c r="B82" i="11"/>
  <c r="B81" i="11"/>
  <c r="B80" i="11"/>
  <c r="B18" i="12"/>
  <c r="B20" i="14" l="1"/>
  <c r="B41" i="14" s="1"/>
  <c r="B19" i="14"/>
  <c r="B40" i="14" s="1"/>
  <c r="B18" i="14"/>
  <c r="B39" i="14" s="1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17" i="14"/>
  <c r="D68" i="11"/>
  <c r="D64" i="11"/>
  <c r="D60" i="11"/>
  <c r="F98" i="6"/>
  <c r="D98" i="6"/>
  <c r="B40" i="12"/>
  <c r="B20" i="12"/>
  <c r="B41" i="12" s="1"/>
  <c r="B17" i="12"/>
  <c r="C46" i="13"/>
  <c r="D50" i="13" s="1"/>
  <c r="C45" i="13"/>
  <c r="C19" i="13"/>
  <c r="B53" i="12"/>
  <c r="B52" i="12"/>
  <c r="E51" i="12"/>
  <c r="D51" i="12"/>
  <c r="C51" i="12"/>
  <c r="B51" i="12"/>
  <c r="B32" i="12"/>
  <c r="E30" i="12"/>
  <c r="D30" i="12"/>
  <c r="C30" i="12"/>
  <c r="B30" i="12"/>
  <c r="B31" i="12" s="1"/>
  <c r="B39" i="12" l="1"/>
  <c r="D27" i="13"/>
  <c r="D35" i="13"/>
  <c r="D43" i="13"/>
  <c r="D28" i="13"/>
  <c r="D36" i="13"/>
  <c r="D37" i="13"/>
  <c r="D38" i="13"/>
  <c r="D39" i="13"/>
  <c r="C49" i="13"/>
  <c r="D24" i="13"/>
  <c r="D32" i="13"/>
  <c r="D40" i="13"/>
  <c r="D49" i="13"/>
  <c r="D29" i="13"/>
  <c r="B49" i="13"/>
  <c r="D31" i="13"/>
  <c r="D25" i="13"/>
  <c r="D33" i="13"/>
  <c r="D41" i="13"/>
  <c r="C50" i="13"/>
  <c r="D30" i="13"/>
  <c r="D26" i="13"/>
  <c r="D34" i="13"/>
  <c r="D42" i="13"/>
  <c r="C173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C156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C139" i="11"/>
  <c r="B135" i="11"/>
  <c r="C122" i="11"/>
  <c r="B118" i="11"/>
  <c r="D102" i="11" s="1"/>
  <c r="B100" i="11"/>
  <c r="D99" i="11"/>
  <c r="D100" i="11" s="1"/>
  <c r="F97" i="11"/>
  <c r="D97" i="11"/>
  <c r="G96" i="11"/>
  <c r="E96" i="11"/>
  <c r="B89" i="11"/>
  <c r="B84" i="11"/>
  <c r="B83" i="11"/>
  <c r="C76" i="11"/>
  <c r="H71" i="11"/>
  <c r="G71" i="11"/>
  <c r="B68" i="11"/>
  <c r="B69" i="11" s="1"/>
  <c r="G67" i="11"/>
  <c r="H67" i="11" s="1"/>
  <c r="H63" i="11"/>
  <c r="G63" i="11"/>
  <c r="C56" i="11"/>
  <c r="B55" i="11"/>
  <c r="B45" i="11"/>
  <c r="D48" i="11" s="1"/>
  <c r="E38" i="11" s="1"/>
  <c r="F44" i="11"/>
  <c r="D44" i="11"/>
  <c r="D45" i="11" s="1"/>
  <c r="F42" i="11"/>
  <c r="D42" i="11"/>
  <c r="G41" i="11"/>
  <c r="E41" i="11"/>
  <c r="B34" i="11"/>
  <c r="B30" i="11"/>
  <c r="D103" i="11" l="1"/>
  <c r="E94" i="11" s="1"/>
  <c r="D101" i="11"/>
  <c r="D46" i="11"/>
  <c r="F45" i="11"/>
  <c r="G38" i="11" s="1"/>
  <c r="F99" i="11"/>
  <c r="F100" i="11" s="1"/>
  <c r="F101" i="11" s="1"/>
  <c r="F153" i="11"/>
  <c r="F170" i="11"/>
  <c r="F46" i="11"/>
  <c r="G39" i="11"/>
  <c r="E39" i="11"/>
  <c r="E40" i="11"/>
  <c r="D49" i="11"/>
  <c r="F151" i="11"/>
  <c r="F168" i="11"/>
  <c r="C173" i="6"/>
  <c r="C156" i="6"/>
  <c r="C139" i="6"/>
  <c r="B135" i="6"/>
  <c r="C122" i="6"/>
  <c r="B118" i="6"/>
  <c r="D102" i="6"/>
  <c r="B100" i="6"/>
  <c r="F97" i="6"/>
  <c r="D97" i="6"/>
  <c r="G96" i="6"/>
  <c r="E96" i="6"/>
  <c r="B89" i="6"/>
  <c r="D99" i="6" s="1"/>
  <c r="B83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D44" i="6"/>
  <c r="D45" i="6" s="1"/>
  <c r="F42" i="6"/>
  <c r="D42" i="6"/>
  <c r="G41" i="6"/>
  <c r="E41" i="6"/>
  <c r="B34" i="6"/>
  <c r="B30" i="6"/>
  <c r="E95" i="11" l="1"/>
  <c r="D104" i="11"/>
  <c r="E93" i="11"/>
  <c r="E97" i="11" s="1"/>
  <c r="G40" i="11"/>
  <c r="D50" i="11" s="1"/>
  <c r="G93" i="11"/>
  <c r="F44" i="6"/>
  <c r="F45" i="6" s="1"/>
  <c r="F46" i="6" s="1"/>
  <c r="G94" i="11"/>
  <c r="G95" i="11"/>
  <c r="E42" i="11"/>
  <c r="F169" i="11"/>
  <c r="G173" i="11"/>
  <c r="F152" i="11"/>
  <c r="G156" i="11"/>
  <c r="D103" i="6"/>
  <c r="D104" i="6" s="1"/>
  <c r="E38" i="6"/>
  <c r="E40" i="6"/>
  <c r="D49" i="6"/>
  <c r="F99" i="6"/>
  <c r="G38" i="6"/>
  <c r="G39" i="6"/>
  <c r="B84" i="6"/>
  <c r="D100" i="6" s="1"/>
  <c r="E39" i="6"/>
  <c r="D46" i="6"/>
  <c r="E94" i="6" l="1"/>
  <c r="G65" i="11"/>
  <c r="H65" i="11" s="1"/>
  <c r="G68" i="11"/>
  <c r="H68" i="11" s="1"/>
  <c r="G60" i="11"/>
  <c r="H60" i="11" s="1"/>
  <c r="D52" i="11"/>
  <c r="G42" i="11"/>
  <c r="G40" i="6"/>
  <c r="D50" i="6" s="1"/>
  <c r="D107" i="11"/>
  <c r="G97" i="11"/>
  <c r="D105" i="11"/>
  <c r="D106" i="11" s="1"/>
  <c r="G64" i="11"/>
  <c r="H64" i="11" s="1"/>
  <c r="G61" i="11"/>
  <c r="H61" i="11" s="1"/>
  <c r="D51" i="11"/>
  <c r="G70" i="11"/>
  <c r="H70" i="11" s="1"/>
  <c r="G62" i="11"/>
  <c r="H62" i="11" s="1"/>
  <c r="G66" i="11"/>
  <c r="H66" i="11" s="1"/>
  <c r="G69" i="11"/>
  <c r="H69" i="11" s="1"/>
  <c r="E132" i="11"/>
  <c r="F132" i="11" s="1"/>
  <c r="F100" i="6"/>
  <c r="G93" i="6" s="1"/>
  <c r="E42" i="6"/>
  <c r="G95" i="6"/>
  <c r="E95" i="6"/>
  <c r="E93" i="6"/>
  <c r="D101" i="6"/>
  <c r="E110" i="11" l="1"/>
  <c r="F110" i="11" s="1"/>
  <c r="E130" i="11"/>
  <c r="F130" i="11" s="1"/>
  <c r="E131" i="11"/>
  <c r="F131" i="11" s="1"/>
  <c r="E114" i="11"/>
  <c r="F114" i="11" s="1"/>
  <c r="E112" i="11"/>
  <c r="F112" i="11" s="1"/>
  <c r="E128" i="11"/>
  <c r="F128" i="11" s="1"/>
  <c r="E111" i="11"/>
  <c r="F111" i="11" s="1"/>
  <c r="E113" i="11"/>
  <c r="F113" i="11" s="1"/>
  <c r="E115" i="11"/>
  <c r="F115" i="11" s="1"/>
  <c r="E129" i="11"/>
  <c r="F129" i="11" s="1"/>
  <c r="E127" i="11"/>
  <c r="F127" i="11" s="1"/>
  <c r="D52" i="6"/>
  <c r="G42" i="6"/>
  <c r="F101" i="6"/>
  <c r="H72" i="11"/>
  <c r="H73" i="11" s="1"/>
  <c r="H74" i="11"/>
  <c r="G94" i="6"/>
  <c r="D107" i="6" s="1"/>
  <c r="E97" i="6"/>
  <c r="G69" i="6"/>
  <c r="H69" i="6" s="1"/>
  <c r="G66" i="6"/>
  <c r="H66" i="6" s="1"/>
  <c r="G64" i="6"/>
  <c r="H64" i="6" s="1"/>
  <c r="G62" i="6"/>
  <c r="H62" i="6" s="1"/>
  <c r="G60" i="6"/>
  <c r="H60" i="6" s="1"/>
  <c r="D51" i="6"/>
  <c r="G68" i="6"/>
  <c r="H68" i="6" s="1"/>
  <c r="G70" i="6"/>
  <c r="H70" i="6" s="1"/>
  <c r="G61" i="6"/>
  <c r="H61" i="6" s="1"/>
  <c r="G65" i="6"/>
  <c r="H65" i="6" s="1"/>
  <c r="F136" i="11" l="1"/>
  <c r="F134" i="11"/>
  <c r="G139" i="11" s="1"/>
  <c r="F117" i="11"/>
  <c r="F118" i="11" s="1"/>
  <c r="F119" i="11"/>
  <c r="G76" i="11"/>
  <c r="G122" i="11"/>
  <c r="D105" i="6"/>
  <c r="E113" i="6" s="1"/>
  <c r="F113" i="6" s="1"/>
  <c r="G97" i="6"/>
  <c r="H74" i="6"/>
  <c r="H72" i="6"/>
  <c r="E165" i="6"/>
  <c r="F165" i="6" s="1"/>
  <c r="E163" i="6"/>
  <c r="F163" i="6" s="1"/>
  <c r="E161" i="6"/>
  <c r="F161" i="6" s="1"/>
  <c r="E149" i="6"/>
  <c r="F149" i="6" s="1"/>
  <c r="E147" i="6"/>
  <c r="F147" i="6" s="1"/>
  <c r="E145" i="6"/>
  <c r="F145" i="6" s="1"/>
  <c r="E166" i="6"/>
  <c r="F166" i="6" s="1"/>
  <c r="E144" i="6"/>
  <c r="F144" i="6" s="1"/>
  <c r="E164" i="6"/>
  <c r="F164" i="6" s="1"/>
  <c r="E146" i="6"/>
  <c r="F146" i="6" s="1"/>
  <c r="E162" i="6"/>
  <c r="F162" i="6" s="1"/>
  <c r="E148" i="6"/>
  <c r="F148" i="6" s="1"/>
  <c r="F135" i="11" l="1"/>
  <c r="E127" i="6"/>
  <c r="F127" i="6" s="1"/>
  <c r="E129" i="6"/>
  <c r="F129" i="6" s="1"/>
  <c r="E130" i="6"/>
  <c r="F130" i="6" s="1"/>
  <c r="E131" i="6"/>
  <c r="F131" i="6" s="1"/>
  <c r="E132" i="6"/>
  <c r="F132" i="6" s="1"/>
  <c r="E128" i="6"/>
  <c r="F128" i="6" s="1"/>
  <c r="E110" i="6"/>
  <c r="F110" i="6" s="1"/>
  <c r="D106" i="6"/>
  <c r="E112" i="6"/>
  <c r="F112" i="6" s="1"/>
  <c r="E115" i="6"/>
  <c r="F115" i="6" s="1"/>
  <c r="E114" i="6"/>
  <c r="F114" i="6" s="1"/>
  <c r="E111" i="6"/>
  <c r="F111" i="6" s="1"/>
  <c r="F153" i="6"/>
  <c r="F151" i="6"/>
  <c r="F168" i="6"/>
  <c r="F170" i="6"/>
  <c r="H73" i="6"/>
  <c r="G76" i="6"/>
  <c r="F134" i="6" l="1"/>
  <c r="G139" i="6" s="1"/>
  <c r="F136" i="6"/>
  <c r="F119" i="6"/>
  <c r="F117" i="6"/>
  <c r="F118" i="6" s="1"/>
  <c r="G173" i="6"/>
  <c r="F169" i="6"/>
  <c r="F152" i="6"/>
  <c r="G156" i="6"/>
  <c r="F135" i="6" l="1"/>
  <c r="G122" i="6"/>
</calcChain>
</file>

<file path=xl/sharedStrings.xml><?xml version="1.0" encoding="utf-8"?>
<sst xmlns="http://schemas.openxmlformats.org/spreadsheetml/2006/main" count="572" uniqueCount="128">
  <si>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</si>
  <si>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</si>
  <si>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</si>
  <si>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</si>
  <si>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</si>
  <si>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</si>
  <si>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</si>
  <si>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</si>
  <si>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</si>
  <si>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</si>
  <si>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</si>
  <si>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</si>
  <si>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</si>
  <si>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</si>
  <si>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</si>
  <si>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</si>
  <si>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</si>
  <si>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</si>
  <si>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</si>
  <si>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</si>
  <si>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</si>
  <si>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</si>
  <si>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</si>
  <si>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</si>
  <si>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</si>
  <si>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</si>
  <si>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</si>
  <si>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</si>
  <si>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</si>
  <si>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</si>
  <si>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</si>
  <si>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</si>
  <si>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</si>
  <si>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</si>
  <si>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</si>
  <si>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</si>
  <si>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</si>
  <si>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</si>
  <si>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</si>
  <si>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</si>
  <si>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</si>
  <si>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</si>
  <si>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</si>
  <si>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</si>
  <si>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</si>
  <si>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</si>
  <si>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</si>
  <si>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</si>
  <si>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</si>
  <si>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</si>
  <si>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</si>
  <si>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</si>
  <si>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</si>
  <si>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</si>
  <si>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</si>
  <si>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</si>
  <si>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</si>
  <si>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</si>
  <si>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</si>
  <si>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</si>
  <si>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</si>
  <si>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</si>
  <si>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</si>
  <si>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</si>
  <si>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</si>
  <si>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</si>
  <si>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</si>
  <si>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</si>
  <si>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</si>
  <si>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</si>
  <si>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</si>
  <si>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</si>
  <si>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</si>
  <si>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</si>
  <si>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</si>
  <si>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</si>
  <si>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</si>
  <si>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</si>
  <si>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</si>
  <si>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</si>
  <si>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</si>
  <si>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</si>
  <si>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</si>
  <si>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</si>
  <si>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</si>
  <si>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</si>
  <si>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Each tablet contains</t>
  </si>
  <si>
    <t>Average tablet Content Weight (mg):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</si>
  <si>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</si>
  <si>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</si>
  <si>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</si>
  <si>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</si>
  <si>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</si>
  <si>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</si>
  <si>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Atazanavir Sulfate</t>
  </si>
  <si>
    <t>A48-2</t>
  </si>
  <si>
    <t>Ritonavir</t>
  </si>
  <si>
    <t>45 Mins</t>
  </si>
  <si>
    <t>90 mins</t>
  </si>
  <si>
    <t>ANZAVIR-R TABLETS 300mg/100mg</t>
  </si>
  <si>
    <t>Atazanavir</t>
  </si>
  <si>
    <t>NDQB201611219</t>
  </si>
  <si>
    <t xml:space="preserve">Each tablets contains 300mg Atazanavir </t>
  </si>
  <si>
    <t>Atazanavir sulfate</t>
  </si>
  <si>
    <t>A48 2</t>
  </si>
  <si>
    <t xml:space="preserve">Each tablets contains 100mg Ritonavir 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</si>
  <si>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</si>
  <si>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</si>
  <si>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</si>
  <si>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</si>
  <si>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</si>
  <si>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</si>
  <si>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</si>
  <si>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</si>
  <si>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</si>
  <si>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</si>
  <si>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</si>
  <si>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</si>
  <si>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</si>
  <si>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</si>
  <si>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</si>
  <si>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</si>
  <si>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</si>
  <si>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ATAZANAVIR SULFATE /RITONAVIR TABLETS</t>
  </si>
  <si>
    <t>ATAZANAVIR and RITONAVIR</t>
  </si>
  <si>
    <t>Each film-coated tablet contains Atazanavir sulphate 300 mg and Ritonavir USP 100 mg</t>
  </si>
  <si>
    <t>2016-11-09 11:10:17</t>
  </si>
  <si>
    <t>R9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</si>
</sst>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73"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19" xfId="0" applyFont="1" applyFill="1" applyBorder="1" applyAlignment="1">
      <alignment horizontal="right"/>
    </xf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0" xfId="0" applyFont="1" applyFill="1"/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right"/>
    </xf>
    <xf numFmtId="1" fontId="11" fillId="4" borderId="35" xfId="0" applyNumberFormat="1" applyFont="1" applyFill="1" applyBorder="1" applyAlignment="1">
      <alignment horizontal="center"/>
    </xf>
    <xf numFmtId="170" fontId="11" fillId="4" borderId="37" xfId="0" applyNumberFormat="1" applyFont="1" applyFill="1" applyBorder="1" applyAlignment="1">
      <alignment horizontal="center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4" borderId="15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0" fillId="2" borderId="42" xfId="0" applyFont="1" applyFill="1" applyBorder="1" applyAlignment="1">
      <alignment horizontal="right"/>
    </xf>
    <xf numFmtId="170" fontId="10" fillId="2" borderId="0" xfId="0" applyNumberFormat="1" applyFont="1" applyFill="1" applyAlignment="1">
      <alignment horizontal="center"/>
    </xf>
    <xf numFmtId="10" fontId="10" fillId="4" borderId="39" xfId="0" applyNumberFormat="1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1" xfId="0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0" fontId="11" fillId="4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4" borderId="39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20" xfId="0" applyFont="1" applyFill="1" applyBorder="1" applyAlignment="1">
      <alignment horizontal="center" wrapText="1"/>
    </xf>
    <xf numFmtId="2" fontId="10" fillId="2" borderId="24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29" xfId="0" applyNumberFormat="1" applyFont="1" applyFill="1" applyBorder="1" applyAlignment="1">
      <alignment horizontal="center"/>
    </xf>
    <xf numFmtId="2" fontId="10" fillId="2" borderId="33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1" xfId="0" applyNumberFormat="1" applyFont="1" applyFill="1" applyBorder="1" applyAlignment="1">
      <alignment horizontal="right"/>
    </xf>
    <xf numFmtId="10" fontId="11" fillId="5" borderId="25" xfId="0" applyNumberFormat="1" applyFont="1" applyFill="1" applyBorder="1" applyAlignment="1">
      <alignment horizontal="center"/>
    </xf>
    <xf numFmtId="0" fontId="10" fillId="2" borderId="21" xfId="0" applyFont="1" applyFill="1" applyBorder="1"/>
    <xf numFmtId="0" fontId="10" fillId="2" borderId="5" xfId="0" applyFont="1" applyFill="1" applyBorder="1"/>
    <xf numFmtId="0" fontId="10" fillId="2" borderId="0" xfId="0" applyFont="1" applyFill="1" applyAlignment="1">
      <alignment horizontal="right"/>
    </xf>
    <xf numFmtId="10" fontId="11" fillId="4" borderId="25" xfId="0" applyNumberFormat="1" applyFont="1" applyFill="1" applyBorder="1" applyAlignment="1">
      <alignment horizontal="center"/>
    </xf>
    <xf numFmtId="0" fontId="10" fillId="2" borderId="40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center"/>
    </xf>
    <xf numFmtId="1" fontId="11" fillId="4" borderId="47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10" fontId="10" fillId="2" borderId="11" xfId="0" applyNumberFormat="1" applyFont="1" applyFill="1" applyBorder="1" applyAlignment="1">
      <alignment horizontal="center" vertical="center"/>
    </xf>
    <xf numFmtId="10" fontId="10" fillId="2" borderId="12" xfId="0" applyNumberFormat="1" applyFont="1" applyFill="1" applyBorder="1" applyAlignment="1">
      <alignment horizontal="center" vertic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30" xfId="0" applyNumberFormat="1" applyFont="1" applyFill="1" applyBorder="1" applyAlignment="1">
      <alignment horizontal="center"/>
    </xf>
    <xf numFmtId="10" fontId="10" fillId="2" borderId="34" xfId="0" applyNumberFormat="1" applyFont="1" applyFill="1" applyBorder="1" applyAlignment="1">
      <alignment horizontal="center"/>
    </xf>
    <xf numFmtId="0" fontId="17" fillId="2" borderId="7" xfId="0" applyFont="1" applyFill="1" applyBorder="1" applyAlignment="1">
      <alignment horizontal="left" vertical="center" wrapText="1"/>
    </xf>
    <xf numFmtId="0" fontId="10" fillId="2" borderId="7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29" xfId="0" applyNumberFormat="1" applyFont="1" applyFill="1" applyBorder="1" applyAlignment="1">
      <alignment horizontal="center"/>
    </xf>
    <xf numFmtId="170" fontId="10" fillId="2" borderId="33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170" fontId="10" fillId="2" borderId="34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0" fontId="10" fillId="2" borderId="6" xfId="0" applyFont="1" applyFill="1" applyBorder="1"/>
    <xf numFmtId="0" fontId="11" fillId="2" borderId="9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0" xfId="0" applyNumberFormat="1" applyFont="1" applyFill="1" applyBorder="1" applyAlignment="1">
      <alignment horizontal="center" vertical="center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41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10" fontId="10" fillId="2" borderId="22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11" fillId="4" borderId="50" xfId="0" applyNumberFormat="1" applyFont="1" applyFill="1" applyBorder="1" applyAlignment="1">
      <alignment horizontal="center"/>
    </xf>
    <xf numFmtId="0" fontId="10" fillId="2" borderId="48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2" fontId="10" fillId="4" borderId="25" xfId="0" applyNumberFormat="1" applyFont="1" applyFill="1" applyBorder="1" applyAlignment="1">
      <alignment horizontal="center"/>
    </xf>
    <xf numFmtId="2" fontId="10" fillId="5" borderId="25" xfId="0" applyNumberFormat="1" applyFont="1" applyFill="1" applyBorder="1" applyAlignment="1">
      <alignment horizontal="center"/>
    </xf>
    <xf numFmtId="0" fontId="10" fillId="2" borderId="50" xfId="0" applyFont="1" applyFill="1" applyBorder="1" applyAlignment="1">
      <alignment horizontal="right"/>
    </xf>
    <xf numFmtId="2" fontId="10" fillId="5" borderId="28" xfId="0" applyNumberFormat="1" applyFont="1" applyFill="1" applyBorder="1" applyAlignment="1">
      <alignment horizontal="center"/>
    </xf>
    <xf numFmtId="0" fontId="10" fillId="2" borderId="14" xfId="0" applyFont="1" applyFill="1" applyBorder="1" applyAlignment="1">
      <alignment horizontal="right"/>
    </xf>
    <xf numFmtId="170" fontId="11" fillId="5" borderId="14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2" borderId="41" xfId="0" applyNumberFormat="1" applyFont="1" applyFill="1" applyBorder="1" applyAlignment="1">
      <alignment horizontal="center"/>
    </xf>
    <xf numFmtId="1" fontId="11" fillId="4" borderId="46" xfId="0" applyNumberFormat="1" applyFont="1" applyFill="1" applyBorder="1" applyAlignment="1">
      <alignment horizontal="center"/>
    </xf>
    <xf numFmtId="2" fontId="10" fillId="5" borderId="25" xfId="0" applyNumberFormat="1" applyFont="1" applyFill="1" applyBorder="1" applyAlignment="1">
      <alignment horizontal="center"/>
    </xf>
    <xf numFmtId="2" fontId="10" fillId="5" borderId="28" xfId="0" applyNumberFormat="1" applyFont="1" applyFill="1" applyBorder="1" applyAlignment="1">
      <alignment horizontal="center"/>
    </xf>
    <xf numFmtId="0" fontId="10" fillId="2" borderId="6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center"/>
      <protection locked="0"/>
    </xf>
    <xf numFmtId="0" fontId="12" fillId="3" borderId="20" xfId="0" applyFont="1" applyFill="1" applyBorder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7" xfId="0" applyFont="1" applyFill="1" applyBorder="1" applyAlignment="1" applyProtection="1">
      <alignment horizontal="center"/>
      <protection locked="0"/>
    </xf>
    <xf numFmtId="0" fontId="12" fillId="3" borderId="21" xfId="0" applyFont="1" applyFill="1" applyBorder="1" applyAlignment="1" applyProtection="1">
      <alignment horizontal="center"/>
      <protection locked="0"/>
    </xf>
    <xf numFmtId="0" fontId="12" fillId="3" borderId="32" xfId="0" applyFont="1" applyFill="1" applyBorder="1" applyAlignment="1" applyProtection="1">
      <alignment horizontal="center"/>
      <protection locked="0"/>
    </xf>
    <xf numFmtId="0" fontId="12" fillId="3" borderId="49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25" xfId="0" applyFont="1" applyFill="1" applyBorder="1" applyAlignment="1" applyProtection="1">
      <alignment horizontal="center"/>
      <protection locked="0"/>
    </xf>
    <xf numFmtId="0" fontId="12" fillId="3" borderId="19" xfId="0" applyFont="1" applyFill="1" applyBorder="1" applyAlignment="1" applyProtection="1">
      <alignment horizontal="center"/>
      <protection locked="0"/>
    </xf>
    <xf numFmtId="0" fontId="12" fillId="3" borderId="40" xfId="0" applyFont="1" applyFill="1" applyBorder="1" applyAlignment="1" applyProtection="1">
      <alignment horizontal="center"/>
      <protection locked="0"/>
    </xf>
    <xf numFmtId="10" fontId="12" fillId="5" borderId="31" xfId="0" applyNumberFormat="1" applyFont="1" applyFill="1" applyBorder="1" applyAlignment="1">
      <alignment horizontal="center"/>
    </xf>
    <xf numFmtId="10" fontId="12" fillId="4" borderId="54" xfId="0" applyNumberFormat="1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center"/>
      <protection locked="0"/>
    </xf>
    <xf numFmtId="170" fontId="12" fillId="3" borderId="32" xfId="0" applyNumberFormat="1" applyFont="1" applyFill="1" applyBorder="1" applyAlignment="1" applyProtection="1">
      <alignment horizontal="center"/>
      <protection locked="0"/>
    </xf>
    <xf numFmtId="1" fontId="12" fillId="3" borderId="29" xfId="0" applyNumberFormat="1" applyFont="1" applyFill="1" applyBorder="1" applyAlignment="1" applyProtection="1">
      <alignment horizontal="center"/>
      <protection locked="0"/>
    </xf>
    <xf numFmtId="1" fontId="12" fillId="3" borderId="33" xfId="0" applyNumberFormat="1" applyFont="1" applyFill="1" applyBorder="1" applyAlignment="1" applyProtection="1">
      <alignment horizontal="center"/>
      <protection locked="0"/>
    </xf>
    <xf numFmtId="10" fontId="12" fillId="5" borderId="25" xfId="0" applyNumberFormat="1" applyFont="1" applyFill="1" applyBorder="1" applyAlignment="1">
      <alignment horizontal="center"/>
    </xf>
    <xf numFmtId="10" fontId="12" fillId="4" borderId="25" xfId="0" applyNumberFormat="1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19" xfId="0" applyFont="1" applyFill="1" applyBorder="1" applyAlignment="1">
      <alignment horizontal="right"/>
    </xf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right"/>
    </xf>
    <xf numFmtId="1" fontId="11" fillId="4" borderId="35" xfId="0" applyNumberFormat="1" applyFont="1" applyFill="1" applyBorder="1" applyAlignment="1">
      <alignment horizontal="center"/>
    </xf>
    <xf numFmtId="170" fontId="11" fillId="4" borderId="37" xfId="0" applyNumberFormat="1" applyFont="1" applyFill="1" applyBorder="1" applyAlignment="1">
      <alignment horizontal="center"/>
    </xf>
    <xf numFmtId="2" fontId="10" fillId="4" borderId="39" xfId="0" applyNumberFormat="1" applyFont="1" applyFill="1" applyBorder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2" fontId="10" fillId="4" borderId="15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0" fillId="2" borderId="42" xfId="0" applyFont="1" applyFill="1" applyBorder="1" applyAlignment="1">
      <alignment horizontal="right"/>
    </xf>
    <xf numFmtId="170" fontId="10" fillId="2" borderId="0" xfId="0" applyNumberFormat="1" applyFont="1" applyFill="1" applyAlignment="1">
      <alignment horizontal="center"/>
    </xf>
    <xf numFmtId="10" fontId="10" fillId="4" borderId="39" xfId="0" applyNumberFormat="1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1" xfId="0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70" fontId="11" fillId="4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4" borderId="39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20" xfId="0" applyFont="1" applyFill="1" applyBorder="1" applyAlignment="1">
      <alignment horizontal="center" wrapText="1"/>
    </xf>
    <xf numFmtId="2" fontId="10" fillId="2" borderId="24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29" xfId="0" applyNumberFormat="1" applyFont="1" applyFill="1" applyBorder="1" applyAlignment="1">
      <alignment horizontal="center"/>
    </xf>
    <xf numFmtId="2" fontId="10" fillId="2" borderId="33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1" xfId="0" applyNumberFormat="1" applyFont="1" applyFill="1" applyBorder="1" applyAlignment="1">
      <alignment horizontal="right"/>
    </xf>
    <xf numFmtId="10" fontId="11" fillId="5" borderId="25" xfId="0" applyNumberFormat="1" applyFont="1" applyFill="1" applyBorder="1" applyAlignment="1">
      <alignment horizontal="center"/>
    </xf>
    <xf numFmtId="0" fontId="10" fillId="2" borderId="21" xfId="0" applyFont="1" applyFill="1" applyBorder="1"/>
    <xf numFmtId="0" fontId="10" fillId="2" borderId="5" xfId="0" applyFont="1" applyFill="1" applyBorder="1"/>
    <xf numFmtId="10" fontId="11" fillId="4" borderId="25" xfId="0" applyNumberFormat="1" applyFont="1" applyFill="1" applyBorder="1" applyAlignment="1">
      <alignment horizontal="center"/>
    </xf>
    <xf numFmtId="0" fontId="10" fillId="2" borderId="40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center"/>
    </xf>
    <xf numFmtId="1" fontId="11" fillId="4" borderId="4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10" fontId="10" fillId="2" borderId="11" xfId="0" applyNumberFormat="1" applyFont="1" applyFill="1" applyBorder="1" applyAlignment="1">
      <alignment horizontal="center" vertical="center"/>
    </xf>
    <xf numFmtId="10" fontId="10" fillId="2" borderId="12" xfId="0" applyNumberFormat="1" applyFont="1" applyFill="1" applyBorder="1" applyAlignment="1">
      <alignment horizontal="center" vertic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30" xfId="0" applyNumberFormat="1" applyFont="1" applyFill="1" applyBorder="1" applyAlignment="1">
      <alignment horizontal="center"/>
    </xf>
    <xf numFmtId="10" fontId="10" fillId="2" borderId="34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168" fontId="10" fillId="3" borderId="0" xfId="0" applyNumberFormat="1" applyFont="1" applyFill="1" applyAlignment="1" applyProtection="1">
      <alignment horizontal="left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29" xfId="0" applyNumberFormat="1" applyFont="1" applyFill="1" applyBorder="1" applyAlignment="1">
      <alignment horizontal="center"/>
    </xf>
    <xf numFmtId="170" fontId="10" fillId="2" borderId="33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170" fontId="10" fillId="2" borderId="34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0" fontId="11" fillId="2" borderId="9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0" xfId="0" applyNumberFormat="1" applyFont="1" applyFill="1" applyBorder="1" applyAlignment="1">
      <alignment horizontal="center" vertical="center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41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2" xfId="0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10" fontId="10" fillId="2" borderId="22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1" fontId="11" fillId="4" borderId="50" xfId="0" applyNumberFormat="1" applyFont="1" applyFill="1" applyBorder="1" applyAlignment="1">
      <alignment horizontal="center"/>
    </xf>
    <xf numFmtId="0" fontId="10" fillId="2" borderId="48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2" fontId="10" fillId="4" borderId="25" xfId="0" applyNumberFormat="1" applyFont="1" applyFill="1" applyBorder="1" applyAlignment="1">
      <alignment horizontal="center"/>
    </xf>
    <xf numFmtId="0" fontId="10" fillId="2" borderId="50" xfId="0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170" fontId="11" fillId="5" borderId="14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2" borderId="41" xfId="0" applyNumberFormat="1" applyFont="1" applyFill="1" applyBorder="1" applyAlignment="1">
      <alignment horizontal="center"/>
    </xf>
    <xf numFmtId="1" fontId="11" fillId="4" borderId="46" xfId="0" applyNumberFormat="1" applyFont="1" applyFill="1" applyBorder="1" applyAlignment="1">
      <alignment horizontal="center"/>
    </xf>
    <xf numFmtId="2" fontId="10" fillId="5" borderId="25" xfId="0" applyNumberFormat="1" applyFont="1" applyFill="1" applyBorder="1" applyAlignment="1">
      <alignment horizontal="center"/>
    </xf>
    <xf numFmtId="2" fontId="10" fillId="5" borderId="28" xfId="0" applyNumberFormat="1" applyFont="1" applyFill="1" applyBorder="1" applyAlignment="1">
      <alignment horizontal="center"/>
    </xf>
    <xf numFmtId="0" fontId="10" fillId="2" borderId="6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center"/>
      <protection locked="0"/>
    </xf>
    <xf numFmtId="0" fontId="12" fillId="3" borderId="20" xfId="0" applyFont="1" applyFill="1" applyBorder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7" xfId="0" applyFont="1" applyFill="1" applyBorder="1" applyAlignment="1" applyProtection="1">
      <alignment horizontal="center"/>
      <protection locked="0"/>
    </xf>
    <xf numFmtId="0" fontId="12" fillId="3" borderId="21" xfId="0" applyFont="1" applyFill="1" applyBorder="1" applyAlignment="1" applyProtection="1">
      <alignment horizontal="center"/>
      <protection locked="0"/>
    </xf>
    <xf numFmtId="0" fontId="12" fillId="3" borderId="32" xfId="0" applyFont="1" applyFill="1" applyBorder="1" applyAlignment="1" applyProtection="1">
      <alignment horizontal="center"/>
      <protection locked="0"/>
    </xf>
    <xf numFmtId="0" fontId="12" fillId="3" borderId="49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25" xfId="0" applyFont="1" applyFill="1" applyBorder="1" applyAlignment="1" applyProtection="1">
      <alignment horizontal="center"/>
      <protection locked="0"/>
    </xf>
    <xf numFmtId="0" fontId="12" fillId="3" borderId="19" xfId="0" applyFont="1" applyFill="1" applyBorder="1" applyAlignment="1" applyProtection="1">
      <alignment horizontal="center"/>
      <protection locked="0"/>
    </xf>
    <xf numFmtId="0" fontId="12" fillId="3" borderId="40" xfId="0" applyFont="1" applyFill="1" applyBorder="1" applyAlignment="1" applyProtection="1">
      <alignment horizontal="center"/>
      <protection locked="0"/>
    </xf>
    <xf numFmtId="10" fontId="12" fillId="5" borderId="31" xfId="0" applyNumberFormat="1" applyFont="1" applyFill="1" applyBorder="1" applyAlignment="1">
      <alignment horizontal="center"/>
    </xf>
    <xf numFmtId="10" fontId="12" fillId="4" borderId="54" xfId="0" applyNumberFormat="1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center"/>
      <protection locked="0"/>
    </xf>
    <xf numFmtId="170" fontId="12" fillId="3" borderId="32" xfId="0" applyNumberFormat="1" applyFont="1" applyFill="1" applyBorder="1" applyAlignment="1" applyProtection="1">
      <alignment horizontal="center"/>
      <protection locked="0"/>
    </xf>
    <xf numFmtId="1" fontId="12" fillId="3" borderId="29" xfId="0" applyNumberFormat="1" applyFont="1" applyFill="1" applyBorder="1" applyAlignment="1" applyProtection="1">
      <alignment horizontal="center"/>
      <protection locked="0"/>
    </xf>
    <xf numFmtId="1" fontId="12" fillId="3" borderId="33" xfId="0" applyNumberFormat="1" applyFont="1" applyFill="1" applyBorder="1" applyAlignment="1" applyProtection="1">
      <alignment horizontal="center"/>
      <protection locked="0"/>
    </xf>
    <xf numFmtId="10" fontId="12" fillId="5" borderId="25" xfId="0" applyNumberFormat="1" applyFont="1" applyFill="1" applyBorder="1" applyAlignment="1">
      <alignment horizontal="center"/>
    </xf>
    <xf numFmtId="10" fontId="12" fillId="4" borderId="25" xfId="0" applyNumberFormat="1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1" fillId="2" borderId="8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7" fillId="2" borderId="7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23" fillId="2" borderId="0" xfId="3" applyFill="1"/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57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24" fillId="3" borderId="2" xfId="3" applyFont="1" applyFill="1" applyBorder="1" applyAlignment="1" applyProtection="1">
      <alignment horizontal="center"/>
      <protection locked="0"/>
    </xf>
    <xf numFmtId="2" fontId="24" fillId="3" borderId="2" xfId="3" applyNumberFormat="1" applyFont="1" applyFill="1" applyBorder="1" applyAlignment="1" applyProtection="1">
      <alignment horizontal="center"/>
      <protection locked="0"/>
    </xf>
    <xf numFmtId="2" fontId="24" fillId="3" borderId="3" xfId="3" applyNumberFormat="1" applyFont="1" applyFill="1" applyBorder="1" applyAlignment="1" applyProtection="1">
      <alignment horizontal="center"/>
      <protection locked="0"/>
    </xf>
    <xf numFmtId="0" fontId="24" fillId="3" borderId="4" xfId="3" applyFont="1" applyFill="1" applyBorder="1" applyAlignment="1" applyProtection="1">
      <alignment horizontal="center"/>
      <protection locked="0"/>
    </xf>
    <xf numFmtId="2" fontId="24" fillId="3" borderId="4" xfId="3" applyNumberFormat="1" applyFont="1" applyFill="1" applyBorder="1" applyAlignment="1" applyProtection="1">
      <alignment horizontal="center"/>
      <protection locked="0"/>
    </xf>
    <xf numFmtId="0" fontId="6" fillId="2" borderId="3" xfId="3" applyFont="1" applyFill="1" applyBorder="1"/>
    <xf numFmtId="1" fontId="5" fillId="6" borderId="1" xfId="3" applyNumberFormat="1" applyFont="1" applyFill="1" applyBorder="1" applyAlignment="1">
      <alignment horizontal="center"/>
    </xf>
    <xf numFmtId="1" fontId="5" fillId="6" borderId="57" xfId="3" applyNumberFormat="1" applyFont="1" applyFill="1" applyBorder="1" applyAlignment="1">
      <alignment horizontal="center"/>
    </xf>
    <xf numFmtId="2" fontId="5" fillId="6" borderId="57" xfId="3" applyNumberFormat="1" applyFont="1" applyFill="1" applyBorder="1" applyAlignment="1">
      <alignment horizontal="center"/>
    </xf>
    <xf numFmtId="0" fontId="6" fillId="2" borderId="2" xfId="3" applyFont="1" applyFill="1" applyBorder="1"/>
    <xf numFmtId="10" fontId="5" fillId="7" borderId="57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5" xfId="3" applyFont="1" applyFill="1" applyBorder="1"/>
    <xf numFmtId="0" fontId="6" fillId="2" borderId="4" xfId="3" applyFont="1" applyFill="1" applyBorder="1"/>
    <xf numFmtId="0" fontId="5" fillId="6" borderId="57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6" fillId="2" borderId="6" xfId="3" applyFont="1" applyFill="1" applyBorder="1"/>
    <xf numFmtId="0" fontId="6" fillId="2" borderId="5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7" xfId="3" applyFont="1" applyFill="1" applyBorder="1"/>
    <xf numFmtId="0" fontId="2" fillId="2" borderId="0" xfId="3" applyFont="1" applyFill="1" applyAlignment="1">
      <alignment horizontal="center"/>
    </xf>
    <xf numFmtId="10" fontId="2" fillId="2" borderId="7" xfId="3" applyNumberFormat="1" applyFont="1" applyFill="1" applyBorder="1"/>
    <xf numFmtId="0" fontId="1" fillId="2" borderId="8" xfId="3" applyFont="1" applyFill="1" applyBorder="1" applyAlignment="1">
      <alignment horizontal="center"/>
    </xf>
    <xf numFmtId="0" fontId="2" fillId="2" borderId="8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6" xfId="3" applyFont="1" applyFill="1" applyBorder="1"/>
    <xf numFmtId="0" fontId="1" fillId="2" borderId="9" xfId="3" applyFont="1" applyFill="1" applyBorder="1"/>
    <xf numFmtId="0" fontId="2" fillId="2" borderId="9" xfId="3" applyFont="1" applyFill="1" applyBorder="1"/>
    <xf numFmtId="0" fontId="1" fillId="2" borderId="0" xfId="1" applyFont="1" applyFill="1"/>
    <xf numFmtId="0" fontId="23" fillId="2" borderId="0" xfId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10" xfId="1" applyNumberFormat="1" applyFont="1" applyFill="1" applyBorder="1" applyAlignment="1">
      <alignment horizontal="center" wrapText="1"/>
    </xf>
    <xf numFmtId="0" fontId="5" fillId="2" borderId="10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2" xfId="1" applyNumberFormat="1" applyFont="1" applyFill="1" applyBorder="1" applyProtection="1">
      <protection locked="0"/>
    </xf>
    <xf numFmtId="10" fontId="6" fillId="2" borderId="11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2" xfId="1" applyNumberFormat="1" applyFont="1" applyFill="1" applyBorder="1" applyAlignment="1">
      <alignment horizontal="center"/>
    </xf>
    <xf numFmtId="2" fontId="6" fillId="3" borderId="13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0" xfId="1" applyFont="1" applyFill="1" applyBorder="1" applyAlignment="1">
      <alignment horizontal="right" vertical="center"/>
    </xf>
    <xf numFmtId="166" fontId="6" fillId="2" borderId="10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0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10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4" xfId="1" applyNumberFormat="1" applyFont="1" applyFill="1" applyBorder="1" applyAlignment="1">
      <alignment horizontal="center"/>
    </xf>
    <xf numFmtId="2" fontId="5" fillId="2" borderId="10" xfId="1" applyNumberFormat="1" applyFont="1" applyFill="1" applyBorder="1" applyAlignment="1">
      <alignment horizontal="center" vertical="center"/>
    </xf>
    <xf numFmtId="165" fontId="5" fillId="2" borderId="15" xfId="1" applyNumberFormat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0" xfId="1" applyFont="1" applyFill="1" applyAlignment="1">
      <alignment horizontal="center"/>
    </xf>
    <xf numFmtId="10" fontId="6" fillId="2" borderId="7" xfId="1" applyNumberFormat="1" applyFont="1" applyFill="1" applyBorder="1"/>
    <xf numFmtId="0" fontId="5" fillId="2" borderId="8" xfId="1" applyFont="1" applyFill="1" applyBorder="1"/>
    <xf numFmtId="0" fontId="5" fillId="2" borderId="8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6" xfId="1" applyFont="1" applyFill="1" applyBorder="1"/>
    <xf numFmtId="0" fontId="5" fillId="2" borderId="9" xfId="1" applyFont="1" applyFill="1" applyBorder="1"/>
    <xf numFmtId="0" fontId="5" fillId="2" borderId="0" xfId="1" applyFont="1" applyFill="1"/>
    <xf numFmtId="0" fontId="6" fillId="2" borderId="9" xfId="1" applyFont="1" applyFill="1" applyBorder="1"/>
    <xf numFmtId="0" fontId="3" fillId="2" borderId="0" xfId="3" applyFont="1" applyFill="1" applyAlignment="1">
      <alignment horizontal="center"/>
    </xf>
    <xf numFmtId="0" fontId="1" fillId="2" borderId="8" xfId="3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11" xfId="1" applyNumberFormat="1" applyFont="1" applyFill="1" applyBorder="1" applyAlignment="1">
      <alignment horizontal="center" vertical="center"/>
    </xf>
    <xf numFmtId="166" fontId="5" fillId="2" borderId="13" xfId="1" applyNumberFormat="1" applyFont="1" applyFill="1" applyBorder="1" applyAlignment="1">
      <alignment horizontal="center" vertical="center"/>
    </xf>
    <xf numFmtId="0" fontId="9" fillId="2" borderId="16" xfId="1" applyFont="1" applyFill="1" applyBorder="1" applyAlignment="1">
      <alignment horizontal="center" wrapText="1"/>
    </xf>
    <xf numFmtId="0" fontId="9" fillId="2" borderId="17" xfId="1" applyFont="1" applyFill="1" applyBorder="1" applyAlignment="1">
      <alignment horizontal="center" wrapText="1"/>
    </xf>
    <xf numFmtId="0" fontId="9" fillId="2" borderId="18" xfId="1" applyFont="1" applyFill="1" applyBorder="1" applyAlignment="1">
      <alignment horizontal="center" wrapText="1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7" fillId="2" borderId="16" xfId="0" applyFont="1" applyFill="1" applyBorder="1" applyAlignment="1">
      <alignment horizontal="justify" vertical="center" wrapText="1"/>
    </xf>
    <xf numFmtId="0" fontId="17" fillId="2" borderId="17" xfId="0" applyFont="1" applyFill="1" applyBorder="1" applyAlignment="1">
      <alignment horizontal="justify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1" fillId="2" borderId="44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40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2" fontId="12" fillId="3" borderId="11" xfId="0" applyNumberFormat="1" applyFont="1" applyFill="1" applyBorder="1" applyAlignment="1" applyProtection="1">
      <alignment horizontal="center" vertical="center"/>
      <protection locked="0"/>
    </xf>
    <xf numFmtId="2" fontId="12" fillId="3" borderId="12" xfId="0" applyNumberFormat="1" applyFont="1" applyFill="1" applyBorder="1" applyAlignment="1" applyProtection="1">
      <alignment horizontal="center" vertical="center"/>
      <protection locked="0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1" fillId="2" borderId="40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40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8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21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28" zoomScale="60" zoomScaleNormal="100" workbookViewId="0">
      <selection activeCell="C30" sqref="C30:D30"/>
    </sheetView>
  </sheetViews>
  <sheetFormatPr defaultRowHeight="13.5" x14ac:dyDescent="0.25"/>
  <cols>
    <col min="1" max="1" width="27.5703125" style="342" customWidth="1"/>
    <col min="2" max="2" width="20.42578125" style="342" customWidth="1"/>
    <col min="3" max="3" width="31.85546875" style="342" customWidth="1"/>
    <col min="4" max="4" width="25.85546875" style="342" customWidth="1"/>
    <col min="5" max="5" width="25.7109375" style="342" customWidth="1"/>
    <col min="6" max="6" width="23.140625" style="342" customWidth="1"/>
    <col min="7" max="7" width="28.42578125" style="342" customWidth="1"/>
    <col min="8" max="8" width="21.5703125" style="342" customWidth="1"/>
    <col min="9" max="9" width="9.140625" style="342" customWidth="1"/>
    <col min="10" max="16384" width="9.140625" style="344"/>
  </cols>
  <sheetData>
    <row r="14" spans="1:6" ht="15" customHeight="1" x14ac:dyDescent="0.3">
      <c r="A14" s="341"/>
      <c r="C14" s="343"/>
      <c r="F14" s="343"/>
    </row>
    <row r="15" spans="1:6" ht="18.75" customHeight="1" x14ac:dyDescent="0.3">
      <c r="A15" s="429" t="s">
        <v>106</v>
      </c>
      <c r="B15" s="429"/>
      <c r="C15" s="429"/>
      <c r="D15" s="429"/>
      <c r="E15" s="429"/>
    </row>
    <row r="16" spans="1:6" ht="16.5" customHeight="1" x14ac:dyDescent="0.3">
      <c r="A16" s="345" t="s">
        <v>0</v>
      </c>
      <c r="B16" s="346" t="s">
        <v>107</v>
      </c>
    </row>
    <row r="17" spans="1:5" ht="16.5" customHeight="1" x14ac:dyDescent="0.3">
      <c r="A17" s="347" t="s">
        <v>108</v>
      </c>
      <c r="B17" s="347" t="str">
        <f>Ritonavir!B18</f>
        <v>ANZAVIR-R TABLETS 300mg/100mg</v>
      </c>
      <c r="D17" s="348"/>
      <c r="E17" s="349"/>
    </row>
    <row r="18" spans="1:5" ht="16.5" customHeight="1" x14ac:dyDescent="0.3">
      <c r="A18" s="350" t="s">
        <v>1</v>
      </c>
      <c r="B18" s="347" t="str">
        <f>Ritonavir!B26</f>
        <v>Ritonavir</v>
      </c>
      <c r="C18" s="349"/>
      <c r="D18" s="349"/>
      <c r="E18" s="349"/>
    </row>
    <row r="19" spans="1:5" ht="16.5" customHeight="1" x14ac:dyDescent="0.3">
      <c r="A19" s="350" t="s">
        <v>2</v>
      </c>
      <c r="B19" s="351">
        <f>Ritonavir!B28</f>
        <v>99.3</v>
      </c>
      <c r="C19" s="349"/>
      <c r="D19" s="349"/>
      <c r="E19" s="349"/>
    </row>
    <row r="20" spans="1:5" ht="16.5" customHeight="1" x14ac:dyDescent="0.3">
      <c r="A20" s="347" t="s">
        <v>109</v>
      </c>
      <c r="B20" s="351">
        <f>Ritonavir!D43</f>
        <v>10.039999999999999</v>
      </c>
      <c r="C20" s="349"/>
      <c r="D20" s="349"/>
      <c r="E20" s="349"/>
    </row>
    <row r="21" spans="1:5" ht="16.5" customHeight="1" x14ac:dyDescent="0.3">
      <c r="A21" s="347" t="s">
        <v>110</v>
      </c>
      <c r="B21" s="352">
        <f>B20/50*15/50</f>
        <v>6.0239999999999988E-2</v>
      </c>
      <c r="C21" s="349"/>
      <c r="D21" s="349"/>
      <c r="E21" s="349"/>
    </row>
    <row r="22" spans="1:5" ht="15.75" customHeight="1" x14ac:dyDescent="0.25">
      <c r="A22" s="349"/>
      <c r="B22" s="349"/>
      <c r="C22" s="349"/>
      <c r="D22" s="349"/>
      <c r="E22" s="349"/>
    </row>
    <row r="23" spans="1:5" ht="16.5" customHeight="1" x14ac:dyDescent="0.3">
      <c r="A23" s="353" t="s">
        <v>111</v>
      </c>
      <c r="B23" s="354" t="s">
        <v>112</v>
      </c>
      <c r="C23" s="353" t="s">
        <v>113</v>
      </c>
      <c r="D23" s="353" t="s">
        <v>114</v>
      </c>
      <c r="E23" s="353" t="s">
        <v>115</v>
      </c>
    </row>
    <row r="24" spans="1:5" ht="16.5" customHeight="1" x14ac:dyDescent="0.3">
      <c r="A24" s="355">
        <v>1</v>
      </c>
      <c r="B24" s="356">
        <v>35232021</v>
      </c>
      <c r="C24" s="356">
        <v>10656.3</v>
      </c>
      <c r="D24" s="357">
        <v>1</v>
      </c>
      <c r="E24" s="358">
        <v>10.4</v>
      </c>
    </row>
    <row r="25" spans="1:5" ht="16.5" customHeight="1" x14ac:dyDescent="0.3">
      <c r="A25" s="355">
        <v>2</v>
      </c>
      <c r="B25" s="356">
        <v>35355408</v>
      </c>
      <c r="C25" s="356">
        <v>10644</v>
      </c>
      <c r="D25" s="357">
        <v>1</v>
      </c>
      <c r="E25" s="357">
        <v>10.4</v>
      </c>
    </row>
    <row r="26" spans="1:5" ht="16.5" customHeight="1" x14ac:dyDescent="0.3">
      <c r="A26" s="355">
        <v>3</v>
      </c>
      <c r="B26" s="356">
        <v>35907689</v>
      </c>
      <c r="C26" s="356">
        <v>10669.2</v>
      </c>
      <c r="D26" s="357">
        <v>1</v>
      </c>
      <c r="E26" s="357">
        <v>10.4</v>
      </c>
    </row>
    <row r="27" spans="1:5" ht="16.5" customHeight="1" x14ac:dyDescent="0.3">
      <c r="A27" s="355">
        <v>4</v>
      </c>
      <c r="B27" s="356"/>
      <c r="C27" s="356"/>
      <c r="D27" s="357"/>
      <c r="E27" s="357"/>
    </row>
    <row r="28" spans="1:5" ht="16.5" customHeight="1" x14ac:dyDescent="0.3">
      <c r="A28" s="355">
        <v>5</v>
      </c>
      <c r="B28" s="356">
        <v>34979883</v>
      </c>
      <c r="C28" s="356">
        <v>10686.9</v>
      </c>
      <c r="D28" s="357">
        <v>1</v>
      </c>
      <c r="E28" s="357">
        <v>10.4</v>
      </c>
    </row>
    <row r="29" spans="1:5" ht="16.5" customHeight="1" x14ac:dyDescent="0.3">
      <c r="A29" s="355">
        <v>6</v>
      </c>
      <c r="B29" s="359">
        <v>36499114</v>
      </c>
      <c r="C29" s="359">
        <v>10574.1</v>
      </c>
      <c r="D29" s="360">
        <v>1</v>
      </c>
      <c r="E29" s="360">
        <v>10.4</v>
      </c>
    </row>
    <row r="30" spans="1:5" ht="16.5" customHeight="1" x14ac:dyDescent="0.3">
      <c r="A30" s="361" t="s">
        <v>116</v>
      </c>
      <c r="B30" s="362">
        <f>AVERAGE(B24:B29)</f>
        <v>35594823</v>
      </c>
      <c r="C30" s="363">
        <f>AVERAGE(C24:C29)</f>
        <v>10646.1</v>
      </c>
      <c r="D30" s="364">
        <f>AVERAGE(D24:D29)</f>
        <v>1</v>
      </c>
      <c r="E30" s="364">
        <f>AVERAGE(E24:E29)</f>
        <v>10.4</v>
      </c>
    </row>
    <row r="31" spans="1:5" ht="16.5" customHeight="1" x14ac:dyDescent="0.3">
      <c r="A31" s="365" t="s">
        <v>117</v>
      </c>
      <c r="B31" s="366">
        <f>(STDEV(B24:B29)/B30)</f>
        <v>1.7104612311321491E-2</v>
      </c>
      <c r="C31" s="367"/>
      <c r="D31" s="367"/>
      <c r="E31" s="368"/>
    </row>
    <row r="32" spans="1:5" s="342" customFormat="1" ht="16.5" customHeight="1" x14ac:dyDescent="0.3">
      <c r="A32" s="369" t="s">
        <v>3</v>
      </c>
      <c r="B32" s="370">
        <f>COUNT(B24:B29)</f>
        <v>5</v>
      </c>
      <c r="C32" s="371"/>
      <c r="D32" s="372"/>
      <c r="E32" s="373"/>
    </row>
    <row r="33" spans="1:5" s="342" customFormat="1" ht="15.75" customHeight="1" x14ac:dyDescent="0.25">
      <c r="A33" s="349"/>
      <c r="B33" s="349"/>
      <c r="C33" s="349"/>
      <c r="D33" s="349"/>
      <c r="E33" s="349"/>
    </row>
    <row r="34" spans="1:5" s="342" customFormat="1" ht="16.5" customHeight="1" x14ac:dyDescent="0.3">
      <c r="A34" s="350" t="s">
        <v>118</v>
      </c>
      <c r="B34" s="374" t="s">
        <v>119</v>
      </c>
      <c r="C34" s="375"/>
      <c r="D34" s="375"/>
      <c r="E34" s="375"/>
    </row>
    <row r="35" spans="1:5" ht="16.5" customHeight="1" x14ac:dyDescent="0.3">
      <c r="A35" s="350"/>
      <c r="B35" s="374" t="s">
        <v>120</v>
      </c>
      <c r="C35" s="375"/>
      <c r="D35" s="375"/>
      <c r="E35" s="375"/>
    </row>
    <row r="36" spans="1:5" ht="16.5" customHeight="1" x14ac:dyDescent="0.3">
      <c r="A36" s="350"/>
      <c r="B36" s="374" t="s">
        <v>121</v>
      </c>
      <c r="C36" s="375"/>
      <c r="D36" s="375"/>
      <c r="E36" s="375"/>
    </row>
    <row r="37" spans="1:5" ht="15.75" customHeight="1" x14ac:dyDescent="0.25">
      <c r="A37" s="349"/>
      <c r="B37" s="349"/>
      <c r="C37" s="349"/>
      <c r="D37" s="349"/>
      <c r="E37" s="349"/>
    </row>
    <row r="38" spans="1:5" ht="16.5" customHeight="1" x14ac:dyDescent="0.3">
      <c r="A38" s="345" t="s">
        <v>0</v>
      </c>
      <c r="B38" s="346" t="s">
        <v>122</v>
      </c>
    </row>
    <row r="39" spans="1:5" ht="16.5" customHeight="1" x14ac:dyDescent="0.3">
      <c r="A39" s="350" t="s">
        <v>1</v>
      </c>
      <c r="B39" s="347" t="str">
        <f>B18</f>
        <v>Ritonavir</v>
      </c>
      <c r="C39" s="349"/>
      <c r="D39" s="349"/>
      <c r="E39" s="349"/>
    </row>
    <row r="40" spans="1:5" ht="16.5" customHeight="1" x14ac:dyDescent="0.3">
      <c r="A40" s="350" t="s">
        <v>2</v>
      </c>
      <c r="B40" s="351">
        <f>B19</f>
        <v>99.3</v>
      </c>
      <c r="C40" s="349"/>
      <c r="D40" s="349"/>
      <c r="E40" s="349"/>
    </row>
    <row r="41" spans="1:5" ht="16.5" customHeight="1" x14ac:dyDescent="0.3">
      <c r="A41" s="347" t="s">
        <v>109</v>
      </c>
      <c r="B41" s="351">
        <f>B20</f>
        <v>10.039999999999999</v>
      </c>
      <c r="C41" s="349"/>
      <c r="D41" s="349"/>
      <c r="E41" s="349"/>
    </row>
    <row r="42" spans="1:5" ht="16.5" customHeight="1" x14ac:dyDescent="0.3">
      <c r="A42" s="347" t="s">
        <v>110</v>
      </c>
      <c r="B42" s="352"/>
      <c r="C42" s="349"/>
      <c r="D42" s="349"/>
      <c r="E42" s="349"/>
    </row>
    <row r="43" spans="1:5" ht="15.75" customHeight="1" x14ac:dyDescent="0.25">
      <c r="A43" s="349"/>
      <c r="B43" s="349"/>
      <c r="C43" s="349"/>
      <c r="D43" s="349"/>
      <c r="E43" s="349"/>
    </row>
    <row r="44" spans="1:5" ht="16.5" customHeight="1" x14ac:dyDescent="0.3">
      <c r="A44" s="353" t="s">
        <v>111</v>
      </c>
      <c r="B44" s="354" t="s">
        <v>112</v>
      </c>
      <c r="C44" s="353" t="s">
        <v>113</v>
      </c>
      <c r="D44" s="353" t="s">
        <v>114</v>
      </c>
      <c r="E44" s="353" t="s">
        <v>115</v>
      </c>
    </row>
    <row r="45" spans="1:5" ht="16.5" customHeight="1" x14ac:dyDescent="0.3">
      <c r="A45" s="355">
        <v>1</v>
      </c>
      <c r="B45" s="356">
        <v>105812009</v>
      </c>
      <c r="C45" s="356">
        <v>10371.9</v>
      </c>
      <c r="D45" s="357">
        <v>1</v>
      </c>
      <c r="E45" s="358">
        <v>10.5</v>
      </c>
    </row>
    <row r="46" spans="1:5" ht="16.5" customHeight="1" x14ac:dyDescent="0.3">
      <c r="A46" s="355">
        <v>2</v>
      </c>
      <c r="B46" s="356">
        <v>105778358</v>
      </c>
      <c r="C46" s="356">
        <v>10381.1</v>
      </c>
      <c r="D46" s="357">
        <v>1</v>
      </c>
      <c r="E46" s="357">
        <v>10.5</v>
      </c>
    </row>
    <row r="47" spans="1:5" ht="16.5" customHeight="1" x14ac:dyDescent="0.3">
      <c r="A47" s="355">
        <v>3</v>
      </c>
      <c r="B47" s="356">
        <v>105738021</v>
      </c>
      <c r="C47" s="356">
        <v>10276.299999999999</v>
      </c>
      <c r="D47" s="357">
        <v>1</v>
      </c>
      <c r="E47" s="357">
        <v>10.5</v>
      </c>
    </row>
    <row r="48" spans="1:5" ht="16.5" customHeight="1" x14ac:dyDescent="0.3">
      <c r="A48" s="355">
        <v>4</v>
      </c>
      <c r="B48" s="356">
        <v>105381175</v>
      </c>
      <c r="C48" s="356">
        <v>10289.200000000001</v>
      </c>
      <c r="D48" s="357">
        <v>1</v>
      </c>
      <c r="E48" s="357">
        <v>10.5</v>
      </c>
    </row>
    <row r="49" spans="1:7" ht="16.5" customHeight="1" x14ac:dyDescent="0.3">
      <c r="A49" s="355">
        <v>5</v>
      </c>
      <c r="B49" s="356">
        <v>105720819</v>
      </c>
      <c r="C49" s="356">
        <v>10345</v>
      </c>
      <c r="D49" s="357">
        <v>1</v>
      </c>
      <c r="E49" s="357">
        <v>10.5</v>
      </c>
    </row>
    <row r="50" spans="1:7" ht="16.5" customHeight="1" x14ac:dyDescent="0.3">
      <c r="A50" s="355">
        <v>6</v>
      </c>
      <c r="B50" s="359">
        <v>105822705</v>
      </c>
      <c r="C50" s="359">
        <v>10274.6</v>
      </c>
      <c r="D50" s="360">
        <v>1</v>
      </c>
      <c r="E50" s="360">
        <v>10.5</v>
      </c>
    </row>
    <row r="51" spans="1:7" ht="16.5" customHeight="1" x14ac:dyDescent="0.3">
      <c r="A51" s="361" t="s">
        <v>116</v>
      </c>
      <c r="B51" s="362">
        <f>AVERAGE(B45:B50)</f>
        <v>105708847.83333333</v>
      </c>
      <c r="C51" s="363">
        <f>AVERAGE(C45:C50)</f>
        <v>10323.016666666666</v>
      </c>
      <c r="D51" s="364">
        <f>AVERAGE(D45:D50)</f>
        <v>1</v>
      </c>
      <c r="E51" s="364">
        <f>AVERAGE(E45:E50)</f>
        <v>10.5</v>
      </c>
    </row>
    <row r="52" spans="1:7" ht="16.5" customHeight="1" x14ac:dyDescent="0.3">
      <c r="A52" s="365" t="s">
        <v>117</v>
      </c>
      <c r="B52" s="366">
        <f>(STDEV(B45:B50)/B51)</f>
        <v>1.5647632269848997E-3</v>
      </c>
      <c r="C52" s="367"/>
      <c r="D52" s="367"/>
      <c r="E52" s="368"/>
    </row>
    <row r="53" spans="1:7" s="342" customFormat="1" ht="16.5" customHeight="1" x14ac:dyDescent="0.3">
      <c r="A53" s="369" t="s">
        <v>3</v>
      </c>
      <c r="B53" s="370">
        <f>COUNT(B45:B50)</f>
        <v>6</v>
      </c>
      <c r="C53" s="371"/>
      <c r="D53" s="372"/>
      <c r="E53" s="373"/>
    </row>
    <row r="54" spans="1:7" s="342" customFormat="1" ht="15.75" customHeight="1" x14ac:dyDescent="0.25">
      <c r="A54" s="349"/>
      <c r="B54" s="349"/>
      <c r="C54" s="349"/>
      <c r="D54" s="349"/>
      <c r="E54" s="349"/>
    </row>
    <row r="55" spans="1:7" s="342" customFormat="1" ht="16.5" customHeight="1" x14ac:dyDescent="0.3">
      <c r="A55" s="350" t="s">
        <v>118</v>
      </c>
      <c r="B55" s="374" t="s">
        <v>119</v>
      </c>
      <c r="C55" s="375"/>
      <c r="D55" s="375"/>
      <c r="E55" s="375"/>
    </row>
    <row r="56" spans="1:7" ht="16.5" customHeight="1" x14ac:dyDescent="0.3">
      <c r="A56" s="350"/>
      <c r="B56" s="374" t="s">
        <v>120</v>
      </c>
      <c r="C56" s="375"/>
      <c r="D56" s="375"/>
      <c r="E56" s="375"/>
    </row>
    <row r="57" spans="1:7" ht="16.5" customHeight="1" x14ac:dyDescent="0.3">
      <c r="A57" s="350"/>
      <c r="B57" s="374" t="s">
        <v>121</v>
      </c>
      <c r="C57" s="375"/>
      <c r="D57" s="375"/>
      <c r="E57" s="375"/>
    </row>
    <row r="58" spans="1:7" ht="14.25" customHeight="1" thickBot="1" x14ac:dyDescent="0.3">
      <c r="A58" s="376"/>
      <c r="B58" s="377"/>
      <c r="D58" s="378"/>
      <c r="F58" s="344"/>
      <c r="G58" s="344"/>
    </row>
    <row r="59" spans="1:7" ht="15" customHeight="1" x14ac:dyDescent="0.3">
      <c r="B59" s="430" t="s">
        <v>4</v>
      </c>
      <c r="C59" s="430"/>
      <c r="E59" s="379" t="s">
        <v>5</v>
      </c>
      <c r="F59" s="380"/>
      <c r="G59" s="379" t="s">
        <v>6</v>
      </c>
    </row>
    <row r="60" spans="1:7" ht="15" customHeight="1" x14ac:dyDescent="0.3">
      <c r="A60" s="381" t="s">
        <v>7</v>
      </c>
      <c r="B60" s="382"/>
      <c r="C60" s="382"/>
      <c r="E60" s="382"/>
      <c r="G60" s="382"/>
    </row>
    <row r="61" spans="1:7" ht="15" customHeight="1" x14ac:dyDescent="0.3">
      <c r="A61" s="381" t="s">
        <v>8</v>
      </c>
      <c r="B61" s="383"/>
      <c r="C61" s="383"/>
      <c r="E61" s="383"/>
      <c r="G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60" zoomScaleNormal="100" workbookViewId="0">
      <selection activeCell="F46" sqref="F46"/>
    </sheetView>
  </sheetViews>
  <sheetFormatPr defaultRowHeight="13.5" x14ac:dyDescent="0.25"/>
  <cols>
    <col min="1" max="1" width="27.5703125" style="342" customWidth="1"/>
    <col min="2" max="2" width="20.42578125" style="342" customWidth="1"/>
    <col min="3" max="3" width="31.85546875" style="342" customWidth="1"/>
    <col min="4" max="4" width="25.85546875" style="342" customWidth="1"/>
    <col min="5" max="5" width="25.7109375" style="342" customWidth="1"/>
    <col min="6" max="6" width="23.140625" style="342" customWidth="1"/>
    <col min="7" max="7" width="28.42578125" style="342" customWidth="1"/>
    <col min="8" max="8" width="21.5703125" style="342" customWidth="1"/>
    <col min="9" max="9" width="9.140625" style="342" customWidth="1"/>
    <col min="10" max="16384" width="9.140625" style="344"/>
  </cols>
  <sheetData>
    <row r="14" spans="1:6" ht="15" customHeight="1" x14ac:dyDescent="0.3">
      <c r="A14" s="341"/>
      <c r="C14" s="343"/>
      <c r="F14" s="343"/>
    </row>
    <row r="15" spans="1:6" ht="18.75" customHeight="1" x14ac:dyDescent="0.3">
      <c r="A15" s="429" t="s">
        <v>106</v>
      </c>
      <c r="B15" s="429"/>
      <c r="C15" s="429"/>
      <c r="D15" s="429"/>
      <c r="E15" s="429"/>
    </row>
    <row r="16" spans="1:6" ht="16.5" customHeight="1" x14ac:dyDescent="0.3">
      <c r="A16" s="345" t="s">
        <v>0</v>
      </c>
      <c r="B16" s="346" t="s">
        <v>107</v>
      </c>
    </row>
    <row r="17" spans="1:5" ht="16.5" customHeight="1" x14ac:dyDescent="0.3">
      <c r="A17" s="347" t="s">
        <v>108</v>
      </c>
      <c r="B17" s="347" t="str">
        <f>Ritonavir!B18</f>
        <v>ANZAVIR-R TABLETS 300mg/100mg</v>
      </c>
      <c r="D17" s="348"/>
      <c r="E17" s="349"/>
    </row>
    <row r="18" spans="1:5" ht="16.5" customHeight="1" x14ac:dyDescent="0.3">
      <c r="A18" s="350" t="s">
        <v>1</v>
      </c>
      <c r="B18" s="347" t="str">
        <f>'Atazanavir '!B26</f>
        <v>Atazanavir sulfate</v>
      </c>
      <c r="C18" s="349"/>
      <c r="D18" s="349"/>
      <c r="E18" s="349"/>
    </row>
    <row r="19" spans="1:5" ht="16.5" customHeight="1" x14ac:dyDescent="0.3">
      <c r="A19" s="350" t="s">
        <v>2</v>
      </c>
      <c r="B19" s="351">
        <v>100</v>
      </c>
      <c r="C19" s="349"/>
      <c r="D19" s="349"/>
      <c r="E19" s="349"/>
    </row>
    <row r="20" spans="1:5" ht="16.5" customHeight="1" x14ac:dyDescent="0.3">
      <c r="A20" s="347" t="s">
        <v>109</v>
      </c>
      <c r="B20" s="351">
        <f>'Atazanavir '!D43</f>
        <v>29.54</v>
      </c>
      <c r="C20" s="349"/>
      <c r="D20" s="349"/>
      <c r="E20" s="349"/>
    </row>
    <row r="21" spans="1:5" ht="16.5" customHeight="1" x14ac:dyDescent="0.3">
      <c r="A21" s="347" t="s">
        <v>110</v>
      </c>
      <c r="B21" s="352">
        <f>B20/10*3/50</f>
        <v>0.17723999999999995</v>
      </c>
      <c r="C21" s="349"/>
      <c r="D21" s="349"/>
      <c r="E21" s="349"/>
    </row>
    <row r="22" spans="1:5" ht="15.75" customHeight="1" x14ac:dyDescent="0.25">
      <c r="A22" s="349"/>
      <c r="B22" s="349"/>
      <c r="C22" s="349"/>
      <c r="D22" s="349"/>
      <c r="E22" s="349"/>
    </row>
    <row r="23" spans="1:5" ht="16.5" customHeight="1" x14ac:dyDescent="0.3">
      <c r="A23" s="353" t="s">
        <v>111</v>
      </c>
      <c r="B23" s="354" t="s">
        <v>112</v>
      </c>
      <c r="C23" s="353" t="s">
        <v>113</v>
      </c>
      <c r="D23" s="353" t="s">
        <v>114</v>
      </c>
      <c r="E23" s="353" t="s">
        <v>115</v>
      </c>
    </row>
    <row r="24" spans="1:5" ht="16.5" customHeight="1" x14ac:dyDescent="0.3">
      <c r="A24" s="355">
        <v>1</v>
      </c>
      <c r="B24" s="356">
        <v>106358039</v>
      </c>
      <c r="C24" s="356">
        <v>10243.9</v>
      </c>
      <c r="D24" s="357">
        <v>1</v>
      </c>
      <c r="E24" s="358">
        <v>9.6</v>
      </c>
    </row>
    <row r="25" spans="1:5" ht="16.5" customHeight="1" x14ac:dyDescent="0.3">
      <c r="A25" s="355">
        <v>2</v>
      </c>
      <c r="B25" s="356">
        <v>106597747</v>
      </c>
      <c r="C25" s="356">
        <v>10223.5</v>
      </c>
      <c r="D25" s="357">
        <v>1</v>
      </c>
      <c r="E25" s="357">
        <v>9.6</v>
      </c>
    </row>
    <row r="26" spans="1:5" ht="16.5" customHeight="1" x14ac:dyDescent="0.3">
      <c r="A26" s="355">
        <v>3</v>
      </c>
      <c r="B26" s="356">
        <v>107865844</v>
      </c>
      <c r="C26" s="356">
        <v>10205.299999999999</v>
      </c>
      <c r="D26" s="357">
        <v>1</v>
      </c>
      <c r="E26" s="357">
        <v>9.6</v>
      </c>
    </row>
    <row r="27" spans="1:5" ht="16.5" customHeight="1" x14ac:dyDescent="0.3">
      <c r="A27" s="355">
        <v>4</v>
      </c>
      <c r="B27" s="356">
        <v>110526123</v>
      </c>
      <c r="C27" s="356">
        <v>10253.1</v>
      </c>
      <c r="D27" s="357">
        <v>1</v>
      </c>
      <c r="E27" s="357">
        <v>9.6</v>
      </c>
    </row>
    <row r="28" spans="1:5" ht="16.5" customHeight="1" x14ac:dyDescent="0.3">
      <c r="A28" s="355">
        <v>5</v>
      </c>
      <c r="B28" s="356">
        <v>104738196</v>
      </c>
      <c r="C28" s="356">
        <v>10241.5</v>
      </c>
      <c r="D28" s="357">
        <v>1</v>
      </c>
      <c r="E28" s="357">
        <v>9.6</v>
      </c>
    </row>
    <row r="29" spans="1:5" ht="16.5" customHeight="1" x14ac:dyDescent="0.3">
      <c r="A29" s="355">
        <v>6</v>
      </c>
      <c r="B29" s="359">
        <v>109339261</v>
      </c>
      <c r="C29" s="359">
        <v>10219.200000000001</v>
      </c>
      <c r="D29" s="360">
        <v>1</v>
      </c>
      <c r="E29" s="360">
        <v>9.6</v>
      </c>
    </row>
    <row r="30" spans="1:5" ht="16.5" customHeight="1" x14ac:dyDescent="0.3">
      <c r="A30" s="361" t="s">
        <v>116</v>
      </c>
      <c r="B30" s="362">
        <f>AVERAGE(B24:B29)</f>
        <v>107570868.33333333</v>
      </c>
      <c r="C30" s="363">
        <f>AVERAGE(C24:C29)</f>
        <v>10231.083333333334</v>
      </c>
      <c r="D30" s="364">
        <f>AVERAGE(D24:D29)</f>
        <v>1</v>
      </c>
      <c r="E30" s="364">
        <f>AVERAGE(E24:E29)</f>
        <v>9.6</v>
      </c>
    </row>
    <row r="31" spans="1:5" ht="16.5" customHeight="1" x14ac:dyDescent="0.3">
      <c r="A31" s="365" t="s">
        <v>117</v>
      </c>
      <c r="B31" s="366">
        <f>(STDEV(B24:B29)/B30)</f>
        <v>1.9671818995385903E-2</v>
      </c>
      <c r="C31" s="367"/>
      <c r="D31" s="367"/>
      <c r="E31" s="368"/>
    </row>
    <row r="32" spans="1:5" s="342" customFormat="1" ht="16.5" customHeight="1" x14ac:dyDescent="0.3">
      <c r="A32" s="369" t="s">
        <v>3</v>
      </c>
      <c r="B32" s="370">
        <f>COUNT(B24:B29)</f>
        <v>6</v>
      </c>
      <c r="C32" s="371"/>
      <c r="D32" s="372"/>
      <c r="E32" s="373"/>
    </row>
    <row r="33" spans="1:5" s="342" customFormat="1" ht="15.75" customHeight="1" x14ac:dyDescent="0.25">
      <c r="A33" s="349"/>
      <c r="B33" s="349"/>
      <c r="C33" s="349"/>
      <c r="D33" s="349"/>
      <c r="E33" s="349"/>
    </row>
    <row r="34" spans="1:5" s="342" customFormat="1" ht="16.5" customHeight="1" x14ac:dyDescent="0.3">
      <c r="A34" s="350" t="s">
        <v>118</v>
      </c>
      <c r="B34" s="374" t="s">
        <v>119</v>
      </c>
      <c r="C34" s="375"/>
      <c r="D34" s="375"/>
      <c r="E34" s="375"/>
    </row>
    <row r="35" spans="1:5" ht="16.5" customHeight="1" x14ac:dyDescent="0.3">
      <c r="A35" s="350"/>
      <c r="B35" s="374" t="s">
        <v>120</v>
      </c>
      <c r="C35" s="375"/>
      <c r="D35" s="375"/>
      <c r="E35" s="375"/>
    </row>
    <row r="36" spans="1:5" ht="16.5" customHeight="1" x14ac:dyDescent="0.3">
      <c r="A36" s="350"/>
      <c r="B36" s="374" t="s">
        <v>121</v>
      </c>
      <c r="C36" s="375"/>
      <c r="D36" s="375"/>
      <c r="E36" s="375"/>
    </row>
    <row r="37" spans="1:5" ht="15.75" customHeight="1" x14ac:dyDescent="0.25">
      <c r="A37" s="349"/>
      <c r="B37" s="349"/>
      <c r="C37" s="349"/>
      <c r="D37" s="349"/>
      <c r="E37" s="349"/>
    </row>
    <row r="38" spans="1:5" ht="16.5" customHeight="1" x14ac:dyDescent="0.3">
      <c r="A38" s="345" t="s">
        <v>0</v>
      </c>
      <c r="B38" s="346" t="s">
        <v>122</v>
      </c>
    </row>
    <row r="39" spans="1:5" ht="16.5" customHeight="1" x14ac:dyDescent="0.3">
      <c r="A39" s="350" t="s">
        <v>1</v>
      </c>
      <c r="B39" s="347" t="str">
        <f>B18</f>
        <v>Atazanavir sulfate</v>
      </c>
      <c r="C39" s="349"/>
      <c r="D39" s="349"/>
      <c r="E39" s="349"/>
    </row>
    <row r="40" spans="1:5" ht="16.5" customHeight="1" x14ac:dyDescent="0.3">
      <c r="A40" s="350" t="s">
        <v>2</v>
      </c>
      <c r="B40" s="351">
        <f>B19</f>
        <v>100</v>
      </c>
      <c r="C40" s="349"/>
      <c r="D40" s="349"/>
      <c r="E40" s="349"/>
    </row>
    <row r="41" spans="1:5" ht="16.5" customHeight="1" x14ac:dyDescent="0.3">
      <c r="A41" s="347" t="s">
        <v>109</v>
      </c>
      <c r="B41" s="351">
        <f>B20</f>
        <v>29.54</v>
      </c>
      <c r="C41" s="349"/>
      <c r="D41" s="349"/>
      <c r="E41" s="349"/>
    </row>
    <row r="42" spans="1:5" ht="16.5" customHeight="1" x14ac:dyDescent="0.3">
      <c r="A42" s="347" t="s">
        <v>110</v>
      </c>
      <c r="B42" s="352"/>
      <c r="C42" s="349"/>
      <c r="D42" s="349"/>
      <c r="E42" s="349"/>
    </row>
    <row r="43" spans="1:5" ht="15.75" customHeight="1" x14ac:dyDescent="0.25">
      <c r="A43" s="349"/>
      <c r="B43" s="349"/>
      <c r="C43" s="349"/>
      <c r="D43" s="349"/>
      <c r="E43" s="349"/>
    </row>
    <row r="44" spans="1:5" ht="16.5" customHeight="1" x14ac:dyDescent="0.3">
      <c r="A44" s="353" t="s">
        <v>111</v>
      </c>
      <c r="B44" s="354" t="s">
        <v>112</v>
      </c>
      <c r="C44" s="353" t="s">
        <v>113</v>
      </c>
      <c r="D44" s="353" t="s">
        <v>114</v>
      </c>
      <c r="E44" s="353" t="s">
        <v>115</v>
      </c>
    </row>
    <row r="45" spans="1:5" ht="16.5" customHeight="1" x14ac:dyDescent="0.3">
      <c r="A45" s="355">
        <v>1</v>
      </c>
      <c r="B45" s="356">
        <v>312645266</v>
      </c>
      <c r="C45" s="356">
        <v>9853.2000000000007</v>
      </c>
      <c r="D45" s="357">
        <v>1</v>
      </c>
      <c r="E45" s="358">
        <v>9.6</v>
      </c>
    </row>
    <row r="46" spans="1:5" ht="16.5" customHeight="1" x14ac:dyDescent="0.3">
      <c r="A46" s="355">
        <v>2</v>
      </c>
      <c r="B46" s="356">
        <v>312721181</v>
      </c>
      <c r="C46" s="356">
        <v>9821.9</v>
      </c>
      <c r="D46" s="357">
        <v>1</v>
      </c>
      <c r="E46" s="357">
        <v>9.6</v>
      </c>
    </row>
    <row r="47" spans="1:5" ht="16.5" customHeight="1" x14ac:dyDescent="0.3">
      <c r="A47" s="355">
        <v>3</v>
      </c>
      <c r="B47" s="356">
        <v>312853690</v>
      </c>
      <c r="C47" s="356">
        <v>9765.2000000000007</v>
      </c>
      <c r="D47" s="357">
        <v>1</v>
      </c>
      <c r="E47" s="357">
        <v>9.6</v>
      </c>
    </row>
    <row r="48" spans="1:5" ht="16.5" customHeight="1" x14ac:dyDescent="0.3">
      <c r="A48" s="355">
        <v>4</v>
      </c>
      <c r="B48" s="356">
        <v>311730630</v>
      </c>
      <c r="C48" s="356">
        <v>9803.2000000000007</v>
      </c>
      <c r="D48" s="357">
        <v>1</v>
      </c>
      <c r="E48" s="357">
        <v>9.6</v>
      </c>
    </row>
    <row r="49" spans="1:7" ht="16.5" customHeight="1" x14ac:dyDescent="0.3">
      <c r="A49" s="355">
        <v>5</v>
      </c>
      <c r="B49" s="356">
        <v>312706977</v>
      </c>
      <c r="C49" s="356">
        <v>9818.9</v>
      </c>
      <c r="D49" s="357">
        <v>1</v>
      </c>
      <c r="E49" s="357">
        <v>9.6</v>
      </c>
    </row>
    <row r="50" spans="1:7" ht="16.5" customHeight="1" x14ac:dyDescent="0.3">
      <c r="A50" s="355">
        <v>6</v>
      </c>
      <c r="B50" s="359">
        <v>312977787</v>
      </c>
      <c r="C50" s="359">
        <v>9799.9</v>
      </c>
      <c r="D50" s="360">
        <v>1</v>
      </c>
      <c r="E50" s="360">
        <v>9.6</v>
      </c>
    </row>
    <row r="51" spans="1:7" ht="16.5" customHeight="1" x14ac:dyDescent="0.3">
      <c r="A51" s="361" t="s">
        <v>116</v>
      </c>
      <c r="B51" s="362">
        <f>AVERAGE(B45:B50)</f>
        <v>312605921.83333331</v>
      </c>
      <c r="C51" s="363">
        <f>AVERAGE(C45:C50)</f>
        <v>9810.3833333333332</v>
      </c>
      <c r="D51" s="364">
        <f>AVERAGE(D45:D50)</f>
        <v>1</v>
      </c>
      <c r="E51" s="364">
        <f>AVERAGE(E45:E50)</f>
        <v>9.6</v>
      </c>
    </row>
    <row r="52" spans="1:7" ht="16.5" customHeight="1" x14ac:dyDescent="0.3">
      <c r="A52" s="365" t="s">
        <v>117</v>
      </c>
      <c r="B52" s="366">
        <f>(STDEV(B45:B50)/B51)</f>
        <v>1.424040979466256E-3</v>
      </c>
      <c r="C52" s="367"/>
      <c r="D52" s="367"/>
      <c r="E52" s="368"/>
    </row>
    <row r="53" spans="1:7" s="342" customFormat="1" ht="16.5" customHeight="1" x14ac:dyDescent="0.3">
      <c r="A53" s="369" t="s">
        <v>3</v>
      </c>
      <c r="B53" s="370">
        <f>COUNT(B45:B50)</f>
        <v>6</v>
      </c>
      <c r="C53" s="371"/>
      <c r="D53" s="372"/>
      <c r="E53" s="373"/>
    </row>
    <row r="54" spans="1:7" s="342" customFormat="1" ht="15.75" customHeight="1" x14ac:dyDescent="0.25">
      <c r="A54" s="349"/>
      <c r="B54" s="349"/>
      <c r="C54" s="349"/>
      <c r="D54" s="349"/>
      <c r="E54" s="349"/>
    </row>
    <row r="55" spans="1:7" s="342" customFormat="1" ht="16.5" customHeight="1" x14ac:dyDescent="0.3">
      <c r="A55" s="350" t="s">
        <v>118</v>
      </c>
      <c r="B55" s="374" t="s">
        <v>119</v>
      </c>
      <c r="C55" s="375"/>
      <c r="D55" s="375"/>
      <c r="E55" s="375"/>
    </row>
    <row r="56" spans="1:7" ht="16.5" customHeight="1" x14ac:dyDescent="0.3">
      <c r="A56" s="350"/>
      <c r="B56" s="374" t="s">
        <v>120</v>
      </c>
      <c r="C56" s="375"/>
      <c r="D56" s="375"/>
      <c r="E56" s="375"/>
    </row>
    <row r="57" spans="1:7" ht="16.5" customHeight="1" x14ac:dyDescent="0.3">
      <c r="A57" s="350"/>
      <c r="B57" s="374" t="s">
        <v>121</v>
      </c>
      <c r="C57" s="375"/>
      <c r="D57" s="375"/>
      <c r="E57" s="375"/>
    </row>
    <row r="58" spans="1:7" ht="14.25" customHeight="1" thickBot="1" x14ac:dyDescent="0.3">
      <c r="A58" s="376"/>
      <c r="B58" s="377"/>
      <c r="D58" s="378"/>
      <c r="F58" s="344"/>
      <c r="G58" s="344"/>
    </row>
    <row r="59" spans="1:7" ht="15" customHeight="1" x14ac:dyDescent="0.3">
      <c r="B59" s="430" t="s">
        <v>4</v>
      </c>
      <c r="C59" s="430"/>
      <c r="E59" s="379" t="s">
        <v>5</v>
      </c>
      <c r="F59" s="380"/>
      <c r="G59" s="379" t="s">
        <v>6</v>
      </c>
    </row>
    <row r="60" spans="1:7" ht="15" customHeight="1" x14ac:dyDescent="0.3">
      <c r="A60" s="381" t="s">
        <v>7</v>
      </c>
      <c r="B60" s="382"/>
      <c r="C60" s="382"/>
      <c r="E60" s="382"/>
      <c r="G60" s="382"/>
    </row>
    <row r="61" spans="1:7" ht="15" customHeight="1" x14ac:dyDescent="0.3">
      <c r="A61" s="381" t="s">
        <v>8</v>
      </c>
      <c r="B61" s="383"/>
      <c r="C61" s="383"/>
      <c r="E61" s="383"/>
      <c r="G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B39" sqref="B39"/>
    </sheetView>
  </sheetViews>
  <sheetFormatPr defaultRowHeight="15" x14ac:dyDescent="0.3"/>
  <cols>
    <col min="1" max="1" width="15.5703125" style="385" customWidth="1"/>
    <col min="2" max="2" width="18.42578125" style="385" customWidth="1"/>
    <col min="3" max="3" width="14.28515625" style="385" customWidth="1"/>
    <col min="4" max="4" width="15" style="385" customWidth="1"/>
    <col min="5" max="5" width="9.140625" style="385" customWidth="1"/>
    <col min="6" max="6" width="27.85546875" style="385" customWidth="1"/>
    <col min="7" max="7" width="12.28515625" style="385" customWidth="1"/>
    <col min="8" max="8" width="9.140625" style="385" customWidth="1"/>
    <col min="9" max="16384" width="9.140625" style="386"/>
  </cols>
  <sheetData>
    <row r="10" spans="1:7" ht="13.5" customHeight="1" thickBot="1" x14ac:dyDescent="0.35"/>
    <row r="11" spans="1:7" ht="13.5" customHeight="1" thickBot="1" x14ac:dyDescent="0.35">
      <c r="A11" s="436" t="s">
        <v>9</v>
      </c>
      <c r="B11" s="437"/>
      <c r="C11" s="437"/>
      <c r="D11" s="437"/>
      <c r="E11" s="437"/>
      <c r="F11" s="438"/>
      <c r="G11" s="387"/>
    </row>
    <row r="12" spans="1:7" ht="16.5" customHeight="1" x14ac:dyDescent="0.3">
      <c r="A12" s="432" t="s">
        <v>10</v>
      </c>
      <c r="B12" s="432"/>
      <c r="C12" s="432"/>
      <c r="D12" s="432"/>
      <c r="E12" s="432"/>
      <c r="F12" s="432"/>
      <c r="G12" s="388"/>
    </row>
    <row r="14" spans="1:7" ht="16.5" customHeight="1" x14ac:dyDescent="0.3">
      <c r="A14" s="431" t="s">
        <v>11</v>
      </c>
      <c r="B14" s="431"/>
      <c r="C14" s="389" t="s">
        <v>123</v>
      </c>
    </row>
    <row r="15" spans="1:7" ht="16.5" customHeight="1" x14ac:dyDescent="0.3">
      <c r="A15" s="431" t="s">
        <v>12</v>
      </c>
      <c r="B15" s="431"/>
      <c r="C15" s="389" t="s">
        <v>101</v>
      </c>
    </row>
    <row r="16" spans="1:7" ht="16.5" customHeight="1" x14ac:dyDescent="0.3">
      <c r="A16" s="431" t="s">
        <v>13</v>
      </c>
      <c r="B16" s="431"/>
      <c r="C16" s="389" t="s">
        <v>124</v>
      </c>
    </row>
    <row r="17" spans="1:5" ht="16.5" customHeight="1" x14ac:dyDescent="0.3">
      <c r="A17" s="431" t="s">
        <v>14</v>
      </c>
      <c r="B17" s="431"/>
      <c r="C17" s="389" t="s">
        <v>125</v>
      </c>
    </row>
    <row r="18" spans="1:5" ht="16.5" customHeight="1" x14ac:dyDescent="0.3">
      <c r="A18" s="431" t="s">
        <v>15</v>
      </c>
      <c r="B18" s="431"/>
      <c r="C18" s="390" t="s">
        <v>126</v>
      </c>
    </row>
    <row r="19" spans="1:5" ht="16.5" customHeight="1" x14ac:dyDescent="0.3">
      <c r="A19" s="431" t="s">
        <v>16</v>
      </c>
      <c r="B19" s="431"/>
      <c r="C19" s="390" t="e">
        <f>#REF!</f>
        <v>#REF!</v>
      </c>
    </row>
    <row r="20" spans="1:5" ht="16.5" customHeight="1" x14ac:dyDescent="0.3">
      <c r="A20" s="391"/>
      <c r="B20" s="391"/>
      <c r="C20" s="392"/>
    </row>
    <row r="21" spans="1:5" ht="16.5" customHeight="1" x14ac:dyDescent="0.3">
      <c r="A21" s="432" t="s">
        <v>0</v>
      </c>
      <c r="B21" s="432"/>
      <c r="C21" s="393" t="s">
        <v>17</v>
      </c>
      <c r="D21" s="394"/>
    </row>
    <row r="22" spans="1:5" ht="15.75" customHeight="1" thickBot="1" x14ac:dyDescent="0.35">
      <c r="A22" s="433"/>
      <c r="B22" s="433"/>
      <c r="C22" s="395"/>
      <c r="D22" s="433"/>
      <c r="E22" s="433"/>
    </row>
    <row r="23" spans="1:5" ht="33.75" customHeight="1" thickBot="1" x14ac:dyDescent="0.35">
      <c r="C23" s="396" t="s">
        <v>18</v>
      </c>
      <c r="D23" s="397" t="s">
        <v>19</v>
      </c>
      <c r="E23" s="398"/>
    </row>
    <row r="24" spans="1:5" ht="15.75" customHeight="1" x14ac:dyDescent="0.3">
      <c r="C24" s="399">
        <v>1973.59</v>
      </c>
      <c r="D24" s="400">
        <f t="shared" ref="D24:D43" si="0">(C24-$C$46)/$C$46</f>
        <v>-3.6085044080803419E-3</v>
      </c>
      <c r="E24" s="401"/>
    </row>
    <row r="25" spans="1:5" ht="15.75" customHeight="1" x14ac:dyDescent="0.3">
      <c r="C25" s="399">
        <v>2002.56</v>
      </c>
      <c r="D25" s="402">
        <f t="shared" si="0"/>
        <v>1.1017360957724076E-2</v>
      </c>
      <c r="E25" s="401"/>
    </row>
    <row r="26" spans="1:5" ht="15.75" customHeight="1" x14ac:dyDescent="0.3">
      <c r="C26" s="399">
        <v>1980.71</v>
      </c>
      <c r="D26" s="402">
        <f t="shared" si="0"/>
        <v>-1.3883717554657368E-5</v>
      </c>
      <c r="E26" s="401"/>
    </row>
    <row r="27" spans="1:5" ht="15.75" customHeight="1" x14ac:dyDescent="0.3">
      <c r="C27" s="399">
        <v>1955.87</v>
      </c>
      <c r="D27" s="402">
        <f t="shared" si="0"/>
        <v>-1.2554667137871659E-2</v>
      </c>
      <c r="E27" s="401"/>
    </row>
    <row r="28" spans="1:5" ht="15.75" customHeight="1" x14ac:dyDescent="0.3">
      <c r="C28" s="399">
        <v>1986.14</v>
      </c>
      <c r="D28" s="402">
        <f t="shared" si="0"/>
        <v>2.7275194214276982E-3</v>
      </c>
      <c r="E28" s="401"/>
    </row>
    <row r="29" spans="1:5" ht="15.75" customHeight="1" x14ac:dyDescent="0.3">
      <c r="C29" s="399">
        <v>1988.23</v>
      </c>
      <c r="D29" s="402">
        <f t="shared" si="0"/>
        <v>3.7826819555847576E-3</v>
      </c>
      <c r="E29" s="401"/>
    </row>
    <row r="30" spans="1:5" ht="15.75" customHeight="1" x14ac:dyDescent="0.3">
      <c r="C30" s="399">
        <v>1983.28</v>
      </c>
      <c r="D30" s="402">
        <f t="shared" si="0"/>
        <v>1.2836127957389701E-3</v>
      </c>
      <c r="E30" s="401"/>
    </row>
    <row r="31" spans="1:5" ht="15.75" customHeight="1" x14ac:dyDescent="0.3">
      <c r="C31" s="399">
        <v>1974.11</v>
      </c>
      <c r="D31" s="402">
        <f t="shared" si="0"/>
        <v>-3.3459759306824124E-3</v>
      </c>
      <c r="E31" s="401"/>
    </row>
    <row r="32" spans="1:5" ht="15.75" customHeight="1" x14ac:dyDescent="0.3">
      <c r="C32" s="399">
        <v>1987.69</v>
      </c>
      <c r="D32" s="402">
        <f t="shared" si="0"/>
        <v>3.510056229056147E-3</v>
      </c>
      <c r="E32" s="401"/>
    </row>
    <row r="33" spans="1:7" ht="15.75" customHeight="1" x14ac:dyDescent="0.3">
      <c r="C33" s="399">
        <v>1991.24</v>
      </c>
      <c r="D33" s="402">
        <f t="shared" si="0"/>
        <v>5.3023179497535917E-3</v>
      </c>
      <c r="E33" s="401"/>
    </row>
    <row r="34" spans="1:7" ht="15.75" customHeight="1" x14ac:dyDescent="0.3">
      <c r="C34" s="399">
        <v>1985.87</v>
      </c>
      <c r="D34" s="402">
        <f t="shared" si="0"/>
        <v>2.5912065581632782E-3</v>
      </c>
      <c r="E34" s="401"/>
    </row>
    <row r="35" spans="1:7" ht="15.75" customHeight="1" x14ac:dyDescent="0.3">
      <c r="C35" s="399">
        <v>1975.26</v>
      </c>
      <c r="D35" s="402">
        <f t="shared" si="0"/>
        <v>-2.7653841056676939E-3</v>
      </c>
      <c r="E35" s="401"/>
    </row>
    <row r="36" spans="1:7" ht="15.75" customHeight="1" x14ac:dyDescent="0.3">
      <c r="C36" s="399">
        <v>1989.9</v>
      </c>
      <c r="D36" s="402">
        <f t="shared" si="0"/>
        <v>4.6258022579974056E-3</v>
      </c>
      <c r="E36" s="401"/>
    </row>
    <row r="37" spans="1:7" ht="15.75" customHeight="1" x14ac:dyDescent="0.3">
      <c r="C37" s="399">
        <v>1977.7</v>
      </c>
      <c r="D37" s="402">
        <f t="shared" si="0"/>
        <v>-1.5335197117234915E-3</v>
      </c>
      <c r="E37" s="401"/>
    </row>
    <row r="38" spans="1:7" ht="15.75" customHeight="1" x14ac:dyDescent="0.3">
      <c r="C38" s="399">
        <v>1948.4</v>
      </c>
      <c r="D38" s="402">
        <f t="shared" si="0"/>
        <v>-1.6325989688184255E-2</v>
      </c>
      <c r="E38" s="401"/>
    </row>
    <row r="39" spans="1:7" ht="15.75" customHeight="1" x14ac:dyDescent="0.3">
      <c r="C39" s="399">
        <v>1980</v>
      </c>
      <c r="D39" s="402">
        <f t="shared" si="0"/>
        <v>-3.7233606169416922E-4</v>
      </c>
      <c r="E39" s="401"/>
    </row>
    <row r="40" spans="1:7" ht="15.75" customHeight="1" x14ac:dyDescent="0.3">
      <c r="C40" s="399">
        <v>1997.5</v>
      </c>
      <c r="D40" s="402">
        <f t="shared" si="0"/>
        <v>8.4627569276595448E-3</v>
      </c>
      <c r="E40" s="401"/>
    </row>
    <row r="41" spans="1:7" ht="15.75" customHeight="1" x14ac:dyDescent="0.3">
      <c r="C41" s="399">
        <v>1990.4</v>
      </c>
      <c r="D41" s="402">
        <f t="shared" si="0"/>
        <v>4.8782334862646545E-3</v>
      </c>
      <c r="E41" s="401"/>
    </row>
    <row r="42" spans="1:7" ht="15.75" customHeight="1" x14ac:dyDescent="0.3">
      <c r="C42" s="399">
        <v>1977.1</v>
      </c>
      <c r="D42" s="402">
        <f t="shared" si="0"/>
        <v>-1.8364371856442591E-3</v>
      </c>
      <c r="E42" s="401"/>
    </row>
    <row r="43" spans="1:7" ht="16.5" customHeight="1" thickBot="1" x14ac:dyDescent="0.35">
      <c r="C43" s="403">
        <v>1969.2</v>
      </c>
      <c r="D43" s="404">
        <f t="shared" si="0"/>
        <v>-5.8248505922667239E-3</v>
      </c>
      <c r="E43" s="401"/>
    </row>
    <row r="44" spans="1:7" ht="16.5" customHeight="1" thickBot="1" x14ac:dyDescent="0.35">
      <c r="C44" s="405"/>
      <c r="D44" s="401"/>
      <c r="E44" s="406"/>
    </row>
    <row r="45" spans="1:7" ht="16.5" customHeight="1" thickBot="1" x14ac:dyDescent="0.35">
      <c r="B45" s="407" t="s">
        <v>20</v>
      </c>
      <c r="C45" s="408">
        <f>SUM(C24:C44)</f>
        <v>39614.75</v>
      </c>
      <c r="D45" s="409"/>
      <c r="E45" s="405"/>
    </row>
    <row r="46" spans="1:7" ht="17.25" customHeight="1" thickBot="1" x14ac:dyDescent="0.35">
      <c r="B46" s="407" t="s">
        <v>21</v>
      </c>
      <c r="C46" s="410">
        <f>AVERAGE(C24:C44)</f>
        <v>1980.7375</v>
      </c>
      <c r="E46" s="411"/>
    </row>
    <row r="47" spans="1:7" ht="17.25" customHeight="1" thickBot="1" x14ac:dyDescent="0.35">
      <c r="A47" s="389"/>
      <c r="B47" s="412"/>
      <c r="D47" s="413"/>
      <c r="E47" s="411"/>
    </row>
    <row r="48" spans="1:7" ht="33.75" customHeight="1" thickBot="1" x14ac:dyDescent="0.35">
      <c r="B48" s="414" t="s">
        <v>21</v>
      </c>
      <c r="C48" s="397" t="s">
        <v>22</v>
      </c>
      <c r="D48" s="415"/>
      <c r="G48" s="413"/>
    </row>
    <row r="49" spans="1:6" ht="17.25" customHeight="1" thickBot="1" x14ac:dyDescent="0.35">
      <c r="B49" s="434">
        <f>C46</f>
        <v>1980.7375</v>
      </c>
      <c r="C49" s="416">
        <f>-IF(C46&lt;=80,10%,IF(C46&lt;250,7.5%,5%))</f>
        <v>-0.05</v>
      </c>
      <c r="D49" s="417">
        <f>IF(C46&lt;=80,C46*0.9,IF(C46&lt;250,C46*0.925,C46*0.95))</f>
        <v>1881.7006249999999</v>
      </c>
    </row>
    <row r="50" spans="1:6" ht="17.25" customHeight="1" thickBot="1" x14ac:dyDescent="0.35">
      <c r="B50" s="435"/>
      <c r="C50" s="418">
        <f>IF(C46&lt;=80, 10%, IF(C46&lt;250, 7.5%, 5%))</f>
        <v>0.05</v>
      </c>
      <c r="D50" s="417">
        <f>IF(C46&lt;=80, C46*1.1, IF(C46&lt;250, C46*1.075, C46*1.05))</f>
        <v>2079.774375</v>
      </c>
    </row>
    <row r="51" spans="1:6" ht="16.5" customHeight="1" thickBot="1" x14ac:dyDescent="0.35">
      <c r="A51" s="419"/>
      <c r="B51" s="420"/>
      <c r="C51" s="389"/>
      <c r="D51" s="421"/>
      <c r="E51" s="389"/>
      <c r="F51" s="394"/>
    </row>
    <row r="52" spans="1:6" ht="16.5" customHeight="1" x14ac:dyDescent="0.3">
      <c r="A52" s="389"/>
      <c r="B52" s="422" t="s">
        <v>4</v>
      </c>
      <c r="C52" s="422"/>
      <c r="D52" s="423" t="s">
        <v>5</v>
      </c>
      <c r="E52" s="424"/>
      <c r="F52" s="423" t="s">
        <v>6</v>
      </c>
    </row>
    <row r="53" spans="1:6" ht="34.5" customHeight="1" x14ac:dyDescent="0.3">
      <c r="A53" s="391" t="s">
        <v>7</v>
      </c>
      <c r="B53" s="425"/>
      <c r="C53" s="389"/>
      <c r="D53" s="425"/>
      <c r="E53" s="389"/>
      <c r="F53" s="425"/>
    </row>
    <row r="54" spans="1:6" ht="34.5" customHeight="1" x14ac:dyDescent="0.3">
      <c r="A54" s="391" t="s">
        <v>8</v>
      </c>
      <c r="B54" s="426"/>
      <c r="C54" s="427"/>
      <c r="D54" s="426"/>
      <c r="E54" s="389"/>
      <c r="F54" s="4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0" zoomScaleNormal="75" zoomScaleSheetLayoutView="50" workbookViewId="0">
      <selection sqref="A1:H140"/>
    </sheetView>
  </sheetViews>
  <sheetFormatPr defaultRowHeight="13.5" x14ac:dyDescent="0.25"/>
  <cols>
    <col min="1" max="1" width="55.42578125" style="281" customWidth="1"/>
    <col min="2" max="2" width="33.7109375" style="281" customWidth="1"/>
    <col min="3" max="3" width="42.28515625" style="281" customWidth="1"/>
    <col min="4" max="4" width="30.5703125" style="281" customWidth="1"/>
    <col min="5" max="5" width="39.85546875" style="281" customWidth="1"/>
    <col min="6" max="6" width="30.7109375" style="281" customWidth="1"/>
    <col min="7" max="7" width="39.85546875" style="281" customWidth="1"/>
    <col min="8" max="8" width="41.140625" style="281" customWidth="1"/>
    <col min="9" max="9" width="30.28515625" style="281" customWidth="1"/>
    <col min="10" max="10" width="30.42578125" style="281" customWidth="1"/>
    <col min="11" max="11" width="21.28515625" style="281" customWidth="1"/>
    <col min="12" max="12" width="9.140625" style="281" customWidth="1"/>
  </cols>
  <sheetData>
    <row r="1" spans="1:8" x14ac:dyDescent="0.25">
      <c r="A1" s="442" t="s">
        <v>23</v>
      </c>
      <c r="B1" s="442"/>
      <c r="C1" s="442"/>
      <c r="D1" s="442"/>
      <c r="E1" s="442"/>
      <c r="F1" s="442"/>
      <c r="G1" s="442"/>
      <c r="H1" s="442"/>
    </row>
    <row r="2" spans="1:8" x14ac:dyDescent="0.25">
      <c r="A2" s="442"/>
      <c r="B2" s="442"/>
      <c r="C2" s="442"/>
      <c r="D2" s="442"/>
      <c r="E2" s="442"/>
      <c r="F2" s="442"/>
      <c r="G2" s="442"/>
      <c r="H2" s="442"/>
    </row>
    <row r="3" spans="1:8" x14ac:dyDescent="0.25">
      <c r="A3" s="442"/>
      <c r="B3" s="442"/>
      <c r="C3" s="442"/>
      <c r="D3" s="442"/>
      <c r="E3" s="442"/>
      <c r="F3" s="442"/>
      <c r="G3" s="442"/>
      <c r="H3" s="442"/>
    </row>
    <row r="4" spans="1:8" x14ac:dyDescent="0.25">
      <c r="A4" s="442"/>
      <c r="B4" s="442"/>
      <c r="C4" s="442"/>
      <c r="D4" s="442"/>
      <c r="E4" s="442"/>
      <c r="F4" s="442"/>
      <c r="G4" s="442"/>
      <c r="H4" s="442"/>
    </row>
    <row r="5" spans="1:8" x14ac:dyDescent="0.25">
      <c r="A5" s="442"/>
      <c r="B5" s="442"/>
      <c r="C5" s="442"/>
      <c r="D5" s="442"/>
      <c r="E5" s="442"/>
      <c r="F5" s="442"/>
      <c r="G5" s="442"/>
      <c r="H5" s="442"/>
    </row>
    <row r="6" spans="1:8" x14ac:dyDescent="0.25">
      <c r="A6" s="442"/>
      <c r="B6" s="442"/>
      <c r="C6" s="442"/>
      <c r="D6" s="442"/>
      <c r="E6" s="442"/>
      <c r="F6" s="442"/>
      <c r="G6" s="442"/>
      <c r="H6" s="442"/>
    </row>
    <row r="7" spans="1:8" x14ac:dyDescent="0.25">
      <c r="A7" s="442"/>
      <c r="B7" s="442"/>
      <c r="C7" s="442"/>
      <c r="D7" s="442"/>
      <c r="E7" s="442"/>
      <c r="F7" s="442"/>
      <c r="G7" s="442"/>
      <c r="H7" s="442"/>
    </row>
    <row r="8" spans="1:8" x14ac:dyDescent="0.25">
      <c r="A8" s="443" t="s">
        <v>24</v>
      </c>
      <c r="B8" s="443"/>
      <c r="C8" s="443"/>
      <c r="D8" s="443"/>
      <c r="E8" s="443"/>
      <c r="F8" s="443"/>
      <c r="G8" s="443"/>
      <c r="H8" s="443"/>
    </row>
    <row r="9" spans="1:8" x14ac:dyDescent="0.25">
      <c r="A9" s="443"/>
      <c r="B9" s="443"/>
      <c r="C9" s="443"/>
      <c r="D9" s="443"/>
      <c r="E9" s="443"/>
      <c r="F9" s="443"/>
      <c r="G9" s="443"/>
      <c r="H9" s="443"/>
    </row>
    <row r="10" spans="1:8" x14ac:dyDescent="0.25">
      <c r="A10" s="443"/>
      <c r="B10" s="443"/>
      <c r="C10" s="443"/>
      <c r="D10" s="443"/>
      <c r="E10" s="443"/>
      <c r="F10" s="443"/>
      <c r="G10" s="443"/>
      <c r="H10" s="443"/>
    </row>
    <row r="11" spans="1:8" x14ac:dyDescent="0.25">
      <c r="A11" s="443"/>
      <c r="B11" s="443"/>
      <c r="C11" s="443"/>
      <c r="D11" s="443"/>
      <c r="E11" s="443"/>
      <c r="F11" s="443"/>
      <c r="G11" s="443"/>
      <c r="H11" s="443"/>
    </row>
    <row r="12" spans="1:8" x14ac:dyDescent="0.25">
      <c r="A12" s="443"/>
      <c r="B12" s="443"/>
      <c r="C12" s="443"/>
      <c r="D12" s="443"/>
      <c r="E12" s="443"/>
      <c r="F12" s="443"/>
      <c r="G12" s="443"/>
      <c r="H12" s="443"/>
    </row>
    <row r="13" spans="1:8" x14ac:dyDescent="0.25">
      <c r="A13" s="443"/>
      <c r="B13" s="443"/>
      <c r="C13" s="443"/>
      <c r="D13" s="443"/>
      <c r="E13" s="443"/>
      <c r="F13" s="443"/>
      <c r="G13" s="443"/>
      <c r="H13" s="443"/>
    </row>
    <row r="14" spans="1:8" x14ac:dyDescent="0.25">
      <c r="A14" s="443"/>
      <c r="B14" s="443"/>
      <c r="C14" s="443"/>
      <c r="D14" s="443"/>
      <c r="E14" s="443"/>
      <c r="F14" s="443"/>
      <c r="G14" s="443"/>
      <c r="H14" s="443"/>
    </row>
    <row r="15" spans="1:8" ht="19.5" customHeight="1" thickBot="1" x14ac:dyDescent="0.3"/>
    <row r="16" spans="1:8" ht="19.5" customHeight="1" thickBot="1" x14ac:dyDescent="0.3">
      <c r="A16" s="444" t="s">
        <v>9</v>
      </c>
      <c r="B16" s="445"/>
      <c r="C16" s="445"/>
      <c r="D16" s="445"/>
      <c r="E16" s="445"/>
      <c r="F16" s="445"/>
      <c r="G16" s="445"/>
      <c r="H16" s="446"/>
    </row>
    <row r="17" spans="1:14" ht="18.75" x14ac:dyDescent="0.3">
      <c r="A17" s="183" t="s">
        <v>25</v>
      </c>
      <c r="B17" s="183"/>
    </row>
    <row r="18" spans="1:14" ht="18.75" x14ac:dyDescent="0.3">
      <c r="A18" s="184" t="s">
        <v>11</v>
      </c>
      <c r="B18" s="447" t="s">
        <v>99</v>
      </c>
      <c r="C18" s="447"/>
      <c r="D18" s="340"/>
      <c r="E18" s="340"/>
    </row>
    <row r="19" spans="1:14" ht="18.75" x14ac:dyDescent="0.3">
      <c r="A19" s="184" t="s">
        <v>12</v>
      </c>
      <c r="B19" s="261" t="s">
        <v>101</v>
      </c>
      <c r="C19" s="307">
        <v>24</v>
      </c>
    </row>
    <row r="20" spans="1:14" ht="18.75" x14ac:dyDescent="0.3">
      <c r="A20" s="184" t="s">
        <v>13</v>
      </c>
      <c r="B20" s="261" t="s">
        <v>96</v>
      </c>
    </row>
    <row r="21" spans="1:14" ht="18.75" x14ac:dyDescent="0.3">
      <c r="A21" s="184" t="s">
        <v>14</v>
      </c>
      <c r="B21" s="284" t="s">
        <v>105</v>
      </c>
      <c r="C21" s="284"/>
      <c r="D21" s="284"/>
      <c r="E21" s="284"/>
      <c r="F21" s="284"/>
      <c r="G21" s="284"/>
      <c r="H21" s="284"/>
      <c r="I21" s="284"/>
    </row>
    <row r="22" spans="1:14" ht="18.75" x14ac:dyDescent="0.3">
      <c r="A22" s="184" t="s">
        <v>15</v>
      </c>
      <c r="B22" s="262">
        <v>42719</v>
      </c>
    </row>
    <row r="23" spans="1:14" ht="18.75" x14ac:dyDescent="0.3">
      <c r="A23" s="184" t="s">
        <v>16</v>
      </c>
      <c r="B23" s="262">
        <v>42723</v>
      </c>
    </row>
    <row r="24" spans="1:14" ht="18.75" x14ac:dyDescent="0.3">
      <c r="A24" s="184"/>
      <c r="B24" s="186"/>
    </row>
    <row r="25" spans="1:14" ht="18.75" x14ac:dyDescent="0.3">
      <c r="A25" s="187" t="s">
        <v>0</v>
      </c>
      <c r="B25" s="186"/>
    </row>
    <row r="26" spans="1:14" ht="26.25" customHeight="1" x14ac:dyDescent="0.4">
      <c r="A26" s="274" t="s">
        <v>1</v>
      </c>
      <c r="B26" s="334" t="s">
        <v>96</v>
      </c>
      <c r="C26" s="333"/>
    </row>
    <row r="27" spans="1:14" ht="26.25" customHeight="1" x14ac:dyDescent="0.4">
      <c r="A27" s="306" t="s">
        <v>26</v>
      </c>
      <c r="B27" s="310" t="s">
        <v>127</v>
      </c>
    </row>
    <row r="28" spans="1:14" ht="27" customHeight="1" thickBot="1" x14ac:dyDescent="0.45">
      <c r="A28" s="306" t="s">
        <v>2</v>
      </c>
      <c r="B28" s="310">
        <v>99.3</v>
      </c>
    </row>
    <row r="29" spans="1:14" s="3" customFormat="1" ht="27" customHeight="1" thickBot="1" x14ac:dyDescent="0.45">
      <c r="A29" s="306" t="s">
        <v>27</v>
      </c>
      <c r="B29" s="310">
        <v>0</v>
      </c>
      <c r="C29" s="448" t="s">
        <v>28</v>
      </c>
      <c r="D29" s="449"/>
      <c r="E29" s="449"/>
      <c r="F29" s="449"/>
      <c r="G29" s="450"/>
      <c r="I29" s="188"/>
      <c r="J29" s="188"/>
      <c r="K29" s="188"/>
      <c r="L29" s="188"/>
    </row>
    <row r="30" spans="1:14" s="3" customFormat="1" ht="19.5" customHeight="1" thickBot="1" x14ac:dyDescent="0.35">
      <c r="A30" s="306" t="s">
        <v>29</v>
      </c>
      <c r="B30" s="338">
        <f>B28-B29</f>
        <v>99.3</v>
      </c>
      <c r="C30" s="189"/>
      <c r="D30" s="189"/>
      <c r="E30" s="189"/>
      <c r="F30" s="189"/>
      <c r="G30" s="190"/>
      <c r="I30" s="188"/>
      <c r="J30" s="188"/>
      <c r="K30" s="188"/>
      <c r="L30" s="188"/>
    </row>
    <row r="31" spans="1:14" s="3" customFormat="1" ht="27" customHeight="1" thickBot="1" x14ac:dyDescent="0.45">
      <c r="A31" s="306" t="s">
        <v>30</v>
      </c>
      <c r="B31" s="311">
        <v>1</v>
      </c>
      <c r="C31" s="439" t="s">
        <v>31</v>
      </c>
      <c r="D31" s="440"/>
      <c r="E31" s="440"/>
      <c r="F31" s="440"/>
      <c r="G31" s="440"/>
      <c r="H31" s="441"/>
      <c r="I31" s="188"/>
      <c r="J31" s="188"/>
      <c r="K31" s="188"/>
      <c r="L31" s="188"/>
    </row>
    <row r="32" spans="1:14" s="3" customFormat="1" ht="27" customHeight="1" thickBot="1" x14ac:dyDescent="0.45">
      <c r="A32" s="306" t="s">
        <v>32</v>
      </c>
      <c r="B32" s="311">
        <v>1</v>
      </c>
      <c r="C32" s="439" t="s">
        <v>33</v>
      </c>
      <c r="D32" s="440"/>
      <c r="E32" s="440"/>
      <c r="F32" s="440"/>
      <c r="G32" s="440"/>
      <c r="H32" s="441"/>
      <c r="I32" s="188"/>
      <c r="J32" s="188"/>
      <c r="K32" s="188"/>
      <c r="L32" s="192"/>
      <c r="M32" s="192"/>
      <c r="N32" s="193"/>
    </row>
    <row r="33" spans="1:14" s="3" customFormat="1" ht="17.25" customHeight="1" x14ac:dyDescent="0.3">
      <c r="A33" s="30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3" customFormat="1" ht="18.75" x14ac:dyDescent="0.3">
      <c r="A34" s="306" t="s">
        <v>34</v>
      </c>
      <c r="B34" s="195">
        <f>B31/B32</f>
        <v>1</v>
      </c>
      <c r="C34" s="307" t="s">
        <v>35</v>
      </c>
      <c r="D34" s="307"/>
      <c r="E34" s="307"/>
      <c r="F34" s="307"/>
      <c r="G34" s="307"/>
      <c r="I34" s="188"/>
      <c r="J34" s="188"/>
      <c r="K34" s="188"/>
      <c r="L34" s="192"/>
      <c r="M34" s="192"/>
      <c r="N34" s="193"/>
    </row>
    <row r="35" spans="1:14" s="3" customFormat="1" ht="19.5" customHeight="1" thickBot="1" x14ac:dyDescent="0.35">
      <c r="A35" s="306"/>
      <c r="B35" s="338"/>
      <c r="G35" s="307"/>
      <c r="I35" s="188"/>
      <c r="J35" s="188"/>
      <c r="K35" s="188"/>
      <c r="L35" s="192"/>
      <c r="M35" s="192"/>
      <c r="N35" s="193"/>
    </row>
    <row r="36" spans="1:14" s="3" customFormat="1" ht="27" customHeight="1" thickBot="1" x14ac:dyDescent="0.45">
      <c r="A36" s="196" t="s">
        <v>83</v>
      </c>
      <c r="B36" s="312">
        <v>50</v>
      </c>
      <c r="C36" s="307"/>
      <c r="D36" s="451" t="s">
        <v>36</v>
      </c>
      <c r="E36" s="452"/>
      <c r="F36" s="451" t="s">
        <v>37</v>
      </c>
      <c r="G36" s="453"/>
      <c r="J36" s="188"/>
      <c r="K36" s="188"/>
      <c r="L36" s="192"/>
      <c r="M36" s="192"/>
      <c r="N36" s="193"/>
    </row>
    <row r="37" spans="1:14" s="3" customFormat="1" ht="15.75" customHeight="1" x14ac:dyDescent="0.4">
      <c r="A37" s="197" t="s">
        <v>38</v>
      </c>
      <c r="B37" s="313">
        <v>15</v>
      </c>
      <c r="C37" s="199" t="s">
        <v>84</v>
      </c>
      <c r="D37" s="200" t="s">
        <v>40</v>
      </c>
      <c r="E37" s="251" t="s">
        <v>41</v>
      </c>
      <c r="F37" s="200" t="s">
        <v>40</v>
      </c>
      <c r="G37" s="201" t="s">
        <v>41</v>
      </c>
      <c r="J37" s="188"/>
      <c r="K37" s="188"/>
      <c r="L37" s="192"/>
      <c r="M37" s="192"/>
      <c r="N37" s="193"/>
    </row>
    <row r="38" spans="1:14" s="3" customFormat="1" ht="26.25" customHeight="1" x14ac:dyDescent="0.4">
      <c r="A38" s="197" t="s">
        <v>42</v>
      </c>
      <c r="B38" s="313">
        <v>50</v>
      </c>
      <c r="C38" s="202">
        <v>1</v>
      </c>
      <c r="D38" s="314">
        <v>35532316</v>
      </c>
      <c r="E38" s="263">
        <f>IF(ISBLANK(D38),"-",$D$48/$D$45*D38)</f>
        <v>34630427.982597977</v>
      </c>
      <c r="F38" s="314">
        <v>39506833</v>
      </c>
      <c r="G38" s="266">
        <f>IF(ISBLANK(F38),"-",$D$48/$F$45*F38)</f>
        <v>35695364.068950497</v>
      </c>
      <c r="J38" s="188"/>
      <c r="K38" s="188"/>
      <c r="L38" s="192"/>
      <c r="M38" s="192"/>
      <c r="N38" s="193"/>
    </row>
    <row r="39" spans="1:14" s="3" customFormat="1" ht="26.25" customHeight="1" x14ac:dyDescent="0.4">
      <c r="A39" s="197" t="s">
        <v>43</v>
      </c>
      <c r="B39" s="313">
        <v>1</v>
      </c>
      <c r="C39" s="198">
        <v>2</v>
      </c>
      <c r="D39" s="315">
        <v>36229739</v>
      </c>
      <c r="E39" s="264">
        <f>IF(ISBLANK(D39),"-",$D$48/$D$45*D39)</f>
        <v>35310148.859078631</v>
      </c>
      <c r="F39" s="315">
        <v>39186041</v>
      </c>
      <c r="G39" s="267">
        <f>IF(ISBLANK(F39),"-",$D$48/$F$45*F39)</f>
        <v>35405520.860551409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44</v>
      </c>
      <c r="B40" s="313">
        <v>1</v>
      </c>
      <c r="C40" s="198">
        <v>3</v>
      </c>
      <c r="D40" s="315">
        <v>35554386</v>
      </c>
      <c r="E40" s="264">
        <f>IF(ISBLANK(D40),"-",$D$48/$D$45*D40)</f>
        <v>34651937.797651291</v>
      </c>
      <c r="F40" s="315">
        <v>39994952</v>
      </c>
      <c r="G40" s="267">
        <f>IF(ISBLANK(F40),"-",$D$48/$F$45*F40)</f>
        <v>36136391.205040395</v>
      </c>
      <c r="L40" s="192"/>
      <c r="M40" s="192"/>
      <c r="N40" s="307"/>
    </row>
    <row r="41" spans="1:14" ht="26.25" customHeight="1" x14ac:dyDescent="0.4">
      <c r="A41" s="197" t="s">
        <v>45</v>
      </c>
      <c r="B41" s="313">
        <v>1</v>
      </c>
      <c r="C41" s="204">
        <v>4</v>
      </c>
      <c r="D41" s="316"/>
      <c r="E41" s="265" t="str">
        <f>IF(ISBLANK(D41),"-",$D$48/$D$45*D41)</f>
        <v>-</v>
      </c>
      <c r="F41" s="316"/>
      <c r="G41" s="268" t="str">
        <f>IF(ISBLANK(F41),"-",$D$48/$F$45*F41)</f>
        <v>-</v>
      </c>
      <c r="L41" s="192"/>
      <c r="M41" s="192"/>
      <c r="N41" s="307"/>
    </row>
    <row r="42" spans="1:14" ht="27" customHeight="1" thickBot="1" x14ac:dyDescent="0.45">
      <c r="A42" s="197" t="s">
        <v>46</v>
      </c>
      <c r="B42" s="313">
        <v>1</v>
      </c>
      <c r="C42" s="206" t="s">
        <v>47</v>
      </c>
      <c r="D42" s="292">
        <f>AVERAGE(D38:D41)</f>
        <v>35772147</v>
      </c>
      <c r="E42" s="227">
        <f>AVERAGE(E38:E41)</f>
        <v>34864171.546442635</v>
      </c>
      <c r="F42" s="207">
        <f>AVERAGE(F38:F41)</f>
        <v>39562608.666666664</v>
      </c>
      <c r="G42" s="208">
        <f>AVERAGE(G38:G41)</f>
        <v>35745758.7115141</v>
      </c>
      <c r="H42" s="282"/>
    </row>
    <row r="43" spans="1:14" ht="26.25" customHeight="1" x14ac:dyDescent="0.4">
      <c r="A43" s="197" t="s">
        <v>48</v>
      </c>
      <c r="B43" s="310">
        <v>1</v>
      </c>
      <c r="C43" s="293" t="s">
        <v>75</v>
      </c>
      <c r="D43" s="317">
        <v>10.039999999999999</v>
      </c>
      <c r="E43" s="307"/>
      <c r="F43" s="318">
        <v>10.83</v>
      </c>
      <c r="H43" s="282"/>
    </row>
    <row r="44" spans="1:14" ht="26.25" customHeight="1" x14ac:dyDescent="0.4">
      <c r="A44" s="197" t="s">
        <v>49</v>
      </c>
      <c r="B44" s="310">
        <v>1</v>
      </c>
      <c r="C44" s="294" t="s">
        <v>76</v>
      </c>
      <c r="D44" s="295">
        <f>D43*$B$34</f>
        <v>10.039999999999999</v>
      </c>
      <c r="E44" s="225"/>
      <c r="F44" s="209">
        <f>F43*$B$34</f>
        <v>10.83</v>
      </c>
      <c r="H44" s="282"/>
    </row>
    <row r="45" spans="1:14" ht="19.5" customHeight="1" thickBot="1" x14ac:dyDescent="0.35">
      <c r="A45" s="197" t="s">
        <v>50</v>
      </c>
      <c r="B45" s="338">
        <f>(B44/B43)*(B42/B41)*(B40/B39)*(B38/B37)*B36</f>
        <v>166.66666666666669</v>
      </c>
      <c r="C45" s="294" t="s">
        <v>51</v>
      </c>
      <c r="D45" s="302">
        <f>D44*$B$30/100</f>
        <v>9.9697199999999988</v>
      </c>
      <c r="E45" s="226"/>
      <c r="F45" s="210">
        <f>F44*$B$30/100</f>
        <v>10.754189999999999</v>
      </c>
      <c r="H45" s="282"/>
    </row>
    <row r="46" spans="1:14" ht="19.5" customHeight="1" thickBot="1" x14ac:dyDescent="0.35">
      <c r="A46" s="454" t="s">
        <v>52</v>
      </c>
      <c r="B46" s="455"/>
      <c r="C46" s="294" t="s">
        <v>53</v>
      </c>
      <c r="D46" s="295">
        <f>D45/$B$45</f>
        <v>5.9818319999999987E-2</v>
      </c>
      <c r="E46" s="226"/>
      <c r="F46" s="211">
        <f>F45/$B$45</f>
        <v>6.4525139999999995E-2</v>
      </c>
      <c r="H46" s="282"/>
    </row>
    <row r="47" spans="1:14" ht="27" customHeight="1" thickBot="1" x14ac:dyDescent="0.45">
      <c r="A47" s="456"/>
      <c r="B47" s="457"/>
      <c r="C47" s="294" t="s">
        <v>85</v>
      </c>
      <c r="D47" s="319">
        <v>5.8299999999999998E-2</v>
      </c>
      <c r="F47" s="213"/>
      <c r="H47" s="282"/>
    </row>
    <row r="48" spans="1:14" ht="18.75" x14ac:dyDescent="0.3">
      <c r="C48" s="294" t="s">
        <v>54</v>
      </c>
      <c r="D48" s="295">
        <f>D47*$B$45</f>
        <v>9.7166666666666668</v>
      </c>
      <c r="F48" s="213"/>
      <c r="H48" s="282"/>
    </row>
    <row r="49" spans="1:12" ht="19.5" customHeight="1" thickBot="1" x14ac:dyDescent="0.35">
      <c r="C49" s="296" t="s">
        <v>55</v>
      </c>
      <c r="D49" s="303">
        <f>D48/B34</f>
        <v>9.7166666666666668</v>
      </c>
      <c r="F49" s="216"/>
      <c r="H49" s="282"/>
    </row>
    <row r="50" spans="1:12" ht="18.75" x14ac:dyDescent="0.3">
      <c r="C50" s="297" t="s">
        <v>56</v>
      </c>
      <c r="D50" s="298">
        <f>AVERAGE(E38:E41,G38:G41)</f>
        <v>35304965.128978364</v>
      </c>
      <c r="F50" s="216"/>
      <c r="H50" s="282"/>
    </row>
    <row r="51" spans="1:12" ht="18.75" x14ac:dyDescent="0.3">
      <c r="C51" s="212" t="s">
        <v>57</v>
      </c>
      <c r="D51" s="217">
        <f>STDEV(E38:E41,G38:G41)/D50</f>
        <v>1.668637478754029E-2</v>
      </c>
      <c r="F51" s="216"/>
    </row>
    <row r="52" spans="1:12" ht="19.5" customHeight="1" thickBot="1" x14ac:dyDescent="0.35">
      <c r="C52" s="214" t="s">
        <v>3</v>
      </c>
      <c r="D52" s="218">
        <f>COUNT(E38:E41,G38:G41)</f>
        <v>6</v>
      </c>
      <c r="F52" s="216"/>
    </row>
    <row r="54" spans="1:12" ht="18.75" x14ac:dyDescent="0.3">
      <c r="A54" s="183" t="s">
        <v>0</v>
      </c>
      <c r="B54" s="219" t="s">
        <v>58</v>
      </c>
    </row>
    <row r="55" spans="1:12" ht="18.75" x14ac:dyDescent="0.3">
      <c r="A55" s="307" t="s">
        <v>59</v>
      </c>
      <c r="B55" s="185" t="str">
        <f>B21</f>
        <v xml:space="preserve">Each tablets contains 100mg Ritonavir </v>
      </c>
    </row>
    <row r="56" spans="1:12" ht="26.25" customHeight="1" x14ac:dyDescent="0.4">
      <c r="A56" s="185" t="s">
        <v>86</v>
      </c>
      <c r="B56" s="310">
        <v>100</v>
      </c>
      <c r="C56" s="307" t="str">
        <f>B20</f>
        <v>Ritonavir</v>
      </c>
      <c r="H56" s="225"/>
    </row>
    <row r="57" spans="1:12" ht="18.75" x14ac:dyDescent="0.3">
      <c r="A57" s="185" t="s">
        <v>87</v>
      </c>
      <c r="B57" s="309">
        <v>1980.7370000000001</v>
      </c>
      <c r="H57" s="225"/>
    </row>
    <row r="58" spans="1:12" ht="19.5" customHeight="1" thickBot="1" x14ac:dyDescent="0.35">
      <c r="H58" s="225"/>
    </row>
    <row r="59" spans="1:12" s="3" customFormat="1" ht="27" customHeight="1" thickBot="1" x14ac:dyDescent="0.45">
      <c r="A59" s="196" t="s">
        <v>88</v>
      </c>
      <c r="B59" s="312">
        <v>100</v>
      </c>
      <c r="C59" s="307"/>
      <c r="D59" s="221" t="s">
        <v>60</v>
      </c>
      <c r="E59" s="220" t="s">
        <v>39</v>
      </c>
      <c r="F59" s="220" t="s">
        <v>40</v>
      </c>
      <c r="G59" s="220" t="s">
        <v>61</v>
      </c>
      <c r="H59" s="199" t="s">
        <v>62</v>
      </c>
      <c r="L59" s="188"/>
    </row>
    <row r="60" spans="1:12" s="3" customFormat="1" ht="22.5" customHeight="1" x14ac:dyDescent="0.4">
      <c r="A60" s="197" t="s">
        <v>80</v>
      </c>
      <c r="B60" s="313">
        <v>3</v>
      </c>
      <c r="C60" s="458" t="s">
        <v>63</v>
      </c>
      <c r="D60" s="461">
        <f>'Atazanavir '!D60:D63</f>
        <v>1994.45</v>
      </c>
      <c r="E60" s="222">
        <v>1</v>
      </c>
      <c r="F60" s="320">
        <v>36162792</v>
      </c>
      <c r="G60" s="253">
        <f>IF(ISBLANK(F60),"-",(F60/$D$50*$D$47*$B$68)*($B$57/$D$60))</f>
        <v>98.843276228285632</v>
      </c>
      <c r="H60" s="255">
        <f t="shared" ref="H60:H71" si="0">IF(ISBLANK(F60),"-",G60/$B$56)</f>
        <v>0.98843276228285637</v>
      </c>
      <c r="L60" s="188"/>
    </row>
    <row r="61" spans="1:12" s="3" customFormat="1" ht="26.25" customHeight="1" x14ac:dyDescent="0.4">
      <c r="A61" s="197" t="s">
        <v>64</v>
      </c>
      <c r="B61" s="313">
        <v>50</v>
      </c>
      <c r="C61" s="459"/>
      <c r="D61" s="462"/>
      <c r="E61" s="223">
        <v>2</v>
      </c>
      <c r="F61" s="315">
        <v>38068544</v>
      </c>
      <c r="G61" s="254">
        <f>IF(ISBLANK(F61),"-",(F61/$D$50*$D$47*$B$68)*($B$57/$D$60))</f>
        <v>104.05224270849014</v>
      </c>
      <c r="H61" s="256">
        <f t="shared" si="0"/>
        <v>1.0405224270849014</v>
      </c>
      <c r="L61" s="188"/>
    </row>
    <row r="62" spans="1:12" s="3" customFormat="1" ht="26.25" customHeight="1" x14ac:dyDescent="0.4">
      <c r="A62" s="197" t="s">
        <v>65</v>
      </c>
      <c r="B62" s="313">
        <v>1</v>
      </c>
      <c r="C62" s="459"/>
      <c r="D62" s="462"/>
      <c r="E62" s="223">
        <v>3</v>
      </c>
      <c r="F62" s="315">
        <v>36879255</v>
      </c>
      <c r="G62" s="254">
        <f>IF(ISBLANK(F62),"-",(F62/$D$50*$D$47*$B$68)*($B$57/$D$60))</f>
        <v>100.80157497403364</v>
      </c>
      <c r="H62" s="256">
        <f t="shared" si="0"/>
        <v>1.0080157497403364</v>
      </c>
      <c r="L62" s="188"/>
    </row>
    <row r="63" spans="1:12" ht="21" customHeight="1" thickBot="1" x14ac:dyDescent="0.45">
      <c r="A63" s="197" t="s">
        <v>66</v>
      </c>
      <c r="B63" s="313">
        <v>1</v>
      </c>
      <c r="C63" s="460"/>
      <c r="D63" s="463"/>
      <c r="E63" s="224">
        <v>4</v>
      </c>
      <c r="F63" s="321"/>
      <c r="G63" s="254" t="str">
        <f>IF(ISBLANK(F63),"-",(F63/$D$50*$D$47*$B$68)*($B$57/$D$60))</f>
        <v>-</v>
      </c>
      <c r="H63" s="256" t="str">
        <f t="shared" si="0"/>
        <v>-</v>
      </c>
    </row>
    <row r="64" spans="1:12" ht="26.25" customHeight="1" x14ac:dyDescent="0.4">
      <c r="A64" s="197" t="s">
        <v>67</v>
      </c>
      <c r="B64" s="313">
        <v>1</v>
      </c>
      <c r="C64" s="458" t="s">
        <v>68</v>
      </c>
      <c r="D64" s="461">
        <f>'Atazanavir '!D64:D67</f>
        <v>1991.51</v>
      </c>
      <c r="E64" s="222">
        <v>1</v>
      </c>
      <c r="F64" s="320">
        <v>36839898</v>
      </c>
      <c r="G64" s="278">
        <f>IF(ISBLANK(F64),"-",(F64/$D$50*$D$47*$B$68)*($B$57/$D$64))</f>
        <v>100.84265221761063</v>
      </c>
      <c r="H64" s="275">
        <f t="shared" si="0"/>
        <v>1.0084265221761064</v>
      </c>
    </row>
    <row r="65" spans="1:8" ht="26.25" customHeight="1" x14ac:dyDescent="0.4">
      <c r="A65" s="197" t="s">
        <v>69</v>
      </c>
      <c r="B65" s="313">
        <v>1</v>
      </c>
      <c r="C65" s="459"/>
      <c r="D65" s="462"/>
      <c r="E65" s="223">
        <v>2</v>
      </c>
      <c r="F65" s="315">
        <v>36704999</v>
      </c>
      <c r="G65" s="279">
        <f>IF(ISBLANK(F65),"-",(F65/$D$50*$D$47*$B$68)*($B$57/$D$64))</f>
        <v>100.47339025761543</v>
      </c>
      <c r="H65" s="276">
        <f t="shared" si="0"/>
        <v>1.0047339025761544</v>
      </c>
    </row>
    <row r="66" spans="1:8" ht="26.25" customHeight="1" x14ac:dyDescent="0.4">
      <c r="A66" s="197" t="s">
        <v>70</v>
      </c>
      <c r="B66" s="313">
        <v>1</v>
      </c>
      <c r="C66" s="459"/>
      <c r="D66" s="462"/>
      <c r="E66" s="223">
        <v>3</v>
      </c>
      <c r="F66" s="315">
        <v>36013187</v>
      </c>
      <c r="G66" s="279">
        <f>IF(ISBLANK(F66),"-",(F66/$D$50*$D$47*$B$68)*($B$57/$D$64))</f>
        <v>98.579678257762183</v>
      </c>
      <c r="H66" s="276">
        <f t="shared" si="0"/>
        <v>0.98579678257762182</v>
      </c>
    </row>
    <row r="67" spans="1:8" ht="21" customHeight="1" thickBot="1" x14ac:dyDescent="0.45">
      <c r="A67" s="197" t="s">
        <v>71</v>
      </c>
      <c r="B67" s="313">
        <v>1</v>
      </c>
      <c r="C67" s="460"/>
      <c r="D67" s="463"/>
      <c r="E67" s="224">
        <v>4</v>
      </c>
      <c r="F67" s="321"/>
      <c r="G67" s="280" t="str">
        <f>IF(ISBLANK(F67),"-",(F67/$D$50*$D$47*$B$68)*($B$57/$D$64))</f>
        <v>-</v>
      </c>
      <c r="H67" s="277" t="str">
        <f t="shared" si="0"/>
        <v>-</v>
      </c>
    </row>
    <row r="68" spans="1:8" ht="21.75" customHeight="1" x14ac:dyDescent="0.4">
      <c r="A68" s="197" t="s">
        <v>72</v>
      </c>
      <c r="B68" s="285">
        <f>(B67/B66)*(B65/B64)*(B63/B62)*(B61/B60)*B59</f>
        <v>1666.6666666666667</v>
      </c>
      <c r="C68" s="458" t="s">
        <v>73</v>
      </c>
      <c r="D68" s="461">
        <f>'Atazanavir '!D68:D71</f>
        <v>1983.81</v>
      </c>
      <c r="E68" s="222">
        <v>1</v>
      </c>
      <c r="F68" s="320">
        <v>36725503</v>
      </c>
      <c r="G68" s="278">
        <f>IF(ISBLANK(F68),"-",(F68/$D$50*$D$47*$B$68)*($B$57/$D$68))</f>
        <v>100.91971358653228</v>
      </c>
      <c r="H68" s="256">
        <f t="shared" si="0"/>
        <v>1.0091971358653229</v>
      </c>
    </row>
    <row r="69" spans="1:8" ht="21.75" customHeight="1" thickBot="1" x14ac:dyDescent="0.45">
      <c r="A69" s="299" t="s">
        <v>74</v>
      </c>
      <c r="B69" s="300">
        <f>D47*B68/B56*B57</f>
        <v>1924.6161183333334</v>
      </c>
      <c r="C69" s="459"/>
      <c r="D69" s="462"/>
      <c r="E69" s="223">
        <v>2</v>
      </c>
      <c r="F69" s="315">
        <v>35949782</v>
      </c>
      <c r="G69" s="279">
        <f>IF(ISBLANK(F69),"-",(F69/$D$50*$D$47*$B$68)*($B$57/$D$68))</f>
        <v>98.788073860779363</v>
      </c>
      <c r="H69" s="256">
        <f t="shared" si="0"/>
        <v>0.98788073860779368</v>
      </c>
    </row>
    <row r="70" spans="1:8" ht="22.5" customHeight="1" x14ac:dyDescent="0.4">
      <c r="A70" s="467" t="s">
        <v>52</v>
      </c>
      <c r="B70" s="468"/>
      <c r="C70" s="459"/>
      <c r="D70" s="462"/>
      <c r="E70" s="223">
        <v>3</v>
      </c>
      <c r="F70" s="315">
        <v>36494009</v>
      </c>
      <c r="G70" s="279">
        <f>IF(ISBLANK(F70),"-",(F70/$D$50*$D$47*$B$68)*($B$57/$D$68))</f>
        <v>100.28358048368545</v>
      </c>
      <c r="H70" s="256">
        <f t="shared" si="0"/>
        <v>1.0028358048368546</v>
      </c>
    </row>
    <row r="71" spans="1:8" ht="21.75" customHeight="1" thickBot="1" x14ac:dyDescent="0.45">
      <c r="A71" s="469"/>
      <c r="B71" s="470"/>
      <c r="C71" s="466"/>
      <c r="D71" s="463"/>
      <c r="E71" s="224">
        <v>4</v>
      </c>
      <c r="F71" s="321"/>
      <c r="G71" s="280" t="str">
        <f>IF(ISBLANK(F71),"-",(F71/$D$50*$D$47*$B$68)*($B$57/$D$68))</f>
        <v>-</v>
      </c>
      <c r="H71" s="257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25"/>
      <c r="G72" s="215" t="s">
        <v>47</v>
      </c>
      <c r="H72" s="322">
        <f>AVERAGE(H60:H71)</f>
        <v>1.0039824250831053</v>
      </c>
    </row>
    <row r="73" spans="1:8" ht="26.25" customHeight="1" x14ac:dyDescent="0.4">
      <c r="C73" s="225"/>
      <c r="D73" s="225"/>
      <c r="E73" s="225"/>
      <c r="F73" s="225"/>
      <c r="G73" s="212" t="s">
        <v>57</v>
      </c>
      <c r="H73" s="323">
        <f>STDEV(H60:H71)/H72</f>
        <v>1.6637171621690858E-2</v>
      </c>
    </row>
    <row r="74" spans="1:8" ht="27" customHeight="1" thickBot="1" x14ac:dyDescent="0.45">
      <c r="A74" s="225"/>
      <c r="B74" s="225"/>
      <c r="C74" s="225"/>
      <c r="D74" s="225"/>
      <c r="E74" s="226"/>
      <c r="F74" s="225"/>
      <c r="G74" s="214" t="s">
        <v>3</v>
      </c>
      <c r="H74" s="324">
        <f>COUNT(H60:H71)</f>
        <v>9</v>
      </c>
    </row>
    <row r="75" spans="1:8" ht="18.75" x14ac:dyDescent="0.3">
      <c r="A75" s="225"/>
      <c r="B75" s="225"/>
      <c r="C75" s="225"/>
      <c r="D75" s="225"/>
      <c r="E75" s="226"/>
      <c r="F75" s="225"/>
      <c r="G75" s="306"/>
      <c r="H75" s="338"/>
    </row>
    <row r="76" spans="1:8" ht="18.75" x14ac:dyDescent="0.3">
      <c r="A76" s="274" t="s">
        <v>89</v>
      </c>
      <c r="B76" s="306" t="s">
        <v>81</v>
      </c>
      <c r="C76" s="471" t="str">
        <f>B20</f>
        <v>Ritonavir</v>
      </c>
      <c r="D76" s="471"/>
      <c r="E76" s="307" t="s">
        <v>90</v>
      </c>
      <c r="F76" s="307"/>
      <c r="G76" s="308">
        <f>H72</f>
        <v>1.0039824250831053</v>
      </c>
      <c r="H76" s="338"/>
    </row>
    <row r="77" spans="1:8" ht="18.75" x14ac:dyDescent="0.3">
      <c r="A77" s="225"/>
      <c r="B77" s="225"/>
      <c r="C77" s="225"/>
      <c r="D77" s="225"/>
      <c r="E77" s="226"/>
      <c r="F77" s="225"/>
      <c r="G77" s="306"/>
      <c r="H77" s="338"/>
    </row>
    <row r="78" spans="1:8" ht="26.25" customHeight="1" x14ac:dyDescent="0.4">
      <c r="A78" s="187" t="s">
        <v>91</v>
      </c>
      <c r="B78" s="187" t="s">
        <v>92</v>
      </c>
      <c r="D78" s="325" t="s">
        <v>97</v>
      </c>
    </row>
    <row r="79" spans="1:8" ht="18.75" x14ac:dyDescent="0.3">
      <c r="A79" s="187"/>
      <c r="B79" s="187"/>
    </row>
    <row r="80" spans="1:8" ht="26.25" customHeight="1" x14ac:dyDescent="0.4">
      <c r="A80" s="274" t="s">
        <v>1</v>
      </c>
      <c r="B80" s="310" t="str">
        <f>B26</f>
        <v>Ritonavir</v>
      </c>
      <c r="C80" s="333"/>
    </row>
    <row r="81" spans="1:12" ht="26.25" customHeight="1" x14ac:dyDescent="0.4">
      <c r="A81" s="306" t="s">
        <v>26</v>
      </c>
      <c r="B81" s="310" t="str">
        <f>B27</f>
        <v>R9 1</v>
      </c>
    </row>
    <row r="82" spans="1:12" ht="27" customHeight="1" thickBot="1" x14ac:dyDescent="0.45">
      <c r="A82" s="306" t="s">
        <v>2</v>
      </c>
      <c r="B82" s="310">
        <f>B28</f>
        <v>99.3</v>
      </c>
    </row>
    <row r="83" spans="1:12" s="3" customFormat="1" ht="27" customHeight="1" thickBot="1" x14ac:dyDescent="0.45">
      <c r="A83" s="306" t="s">
        <v>27</v>
      </c>
      <c r="B83" s="310">
        <f>B29</f>
        <v>0</v>
      </c>
      <c r="C83" s="448" t="s">
        <v>28</v>
      </c>
      <c r="D83" s="449"/>
      <c r="E83" s="449"/>
      <c r="F83" s="449"/>
      <c r="G83" s="450"/>
      <c r="I83" s="188"/>
      <c r="J83" s="188"/>
      <c r="K83" s="188"/>
      <c r="L83" s="188"/>
    </row>
    <row r="84" spans="1:12" s="3" customFormat="1" ht="18.75" x14ac:dyDescent="0.3">
      <c r="A84" s="306" t="s">
        <v>29</v>
      </c>
      <c r="B84" s="338">
        <f>B82-B83</f>
        <v>99.3</v>
      </c>
      <c r="C84" s="189"/>
      <c r="D84" s="189"/>
      <c r="E84" s="189"/>
      <c r="F84" s="189"/>
      <c r="G84" s="190"/>
      <c r="I84" s="188"/>
      <c r="J84" s="188"/>
      <c r="K84" s="188"/>
      <c r="L84" s="188"/>
    </row>
    <row r="85" spans="1:12" s="3" customFormat="1" ht="19.5" customHeight="1" thickBot="1" x14ac:dyDescent="0.35">
      <c r="A85" s="306"/>
      <c r="B85" s="338"/>
      <c r="C85" s="189"/>
      <c r="D85" s="189"/>
      <c r="E85" s="189"/>
      <c r="F85" s="189"/>
      <c r="G85" s="190"/>
      <c r="I85" s="188"/>
      <c r="J85" s="188"/>
      <c r="K85" s="188"/>
      <c r="L85" s="188"/>
    </row>
    <row r="86" spans="1:12" s="3" customFormat="1" ht="27" customHeight="1" thickBot="1" x14ac:dyDescent="0.45">
      <c r="A86" s="306" t="s">
        <v>30</v>
      </c>
      <c r="B86" s="311">
        <v>1</v>
      </c>
      <c r="C86" s="439" t="s">
        <v>31</v>
      </c>
      <c r="D86" s="440"/>
      <c r="E86" s="440"/>
      <c r="F86" s="440"/>
      <c r="G86" s="440"/>
      <c r="H86" s="441"/>
      <c r="I86" s="188"/>
      <c r="J86" s="188"/>
      <c r="K86" s="188"/>
      <c r="L86" s="188"/>
    </row>
    <row r="87" spans="1:12" s="3" customFormat="1" ht="27" customHeight="1" thickBot="1" x14ac:dyDescent="0.45">
      <c r="A87" s="306" t="s">
        <v>32</v>
      </c>
      <c r="B87" s="311">
        <v>1</v>
      </c>
      <c r="C87" s="439" t="s">
        <v>33</v>
      </c>
      <c r="D87" s="440"/>
      <c r="E87" s="440"/>
      <c r="F87" s="440"/>
      <c r="G87" s="440"/>
      <c r="H87" s="441"/>
      <c r="I87" s="188"/>
      <c r="J87" s="188"/>
      <c r="K87" s="188"/>
      <c r="L87" s="188"/>
    </row>
    <row r="88" spans="1:12" s="3" customFormat="1" ht="18.75" x14ac:dyDescent="0.3">
      <c r="A88" s="306"/>
      <c r="B88" s="338"/>
      <c r="C88" s="189"/>
      <c r="D88" s="189"/>
      <c r="E88" s="189"/>
      <c r="F88" s="189"/>
      <c r="G88" s="190"/>
      <c r="I88" s="188"/>
      <c r="J88" s="188"/>
      <c r="K88" s="188"/>
      <c r="L88" s="188"/>
    </row>
    <row r="89" spans="1:12" ht="18.75" x14ac:dyDescent="0.3">
      <c r="A89" s="306" t="s">
        <v>34</v>
      </c>
      <c r="B89" s="195">
        <f>B86/B87</f>
        <v>1</v>
      </c>
      <c r="C89" s="307" t="s">
        <v>35</v>
      </c>
    </row>
    <row r="90" spans="1:12" ht="19.5" customHeight="1" thickBot="1" x14ac:dyDescent="0.35">
      <c r="A90" s="306"/>
      <c r="B90" s="195"/>
    </row>
    <row r="91" spans="1:12" ht="27" customHeight="1" thickBot="1" x14ac:dyDescent="0.45">
      <c r="A91" s="196" t="s">
        <v>83</v>
      </c>
      <c r="B91" s="312">
        <v>50</v>
      </c>
      <c r="D91" s="336" t="s">
        <v>36</v>
      </c>
      <c r="E91" s="337"/>
      <c r="F91" s="451" t="s">
        <v>37</v>
      </c>
      <c r="G91" s="453"/>
    </row>
    <row r="92" spans="1:12" ht="26.25" customHeight="1" x14ac:dyDescent="0.4">
      <c r="A92" s="197" t="s">
        <v>38</v>
      </c>
      <c r="B92" s="313">
        <v>25</v>
      </c>
      <c r="C92" s="335" t="s">
        <v>84</v>
      </c>
      <c r="D92" s="200" t="s">
        <v>40</v>
      </c>
      <c r="E92" s="251" t="s">
        <v>41</v>
      </c>
      <c r="F92" s="200" t="s">
        <v>40</v>
      </c>
      <c r="G92" s="201" t="s">
        <v>41</v>
      </c>
    </row>
    <row r="93" spans="1:12" ht="26.25" customHeight="1" x14ac:dyDescent="0.4">
      <c r="A93" s="197" t="s">
        <v>42</v>
      </c>
      <c r="B93" s="313">
        <v>50</v>
      </c>
      <c r="C93" s="249">
        <v>1</v>
      </c>
      <c r="D93" s="314">
        <v>106483446</v>
      </c>
      <c r="E93" s="263">
        <f>IF(ISBLANK(D93),"-",$D$103/$D$100*D93)</f>
        <v>106806857.16349107</v>
      </c>
      <c r="F93" s="314">
        <v>119739460</v>
      </c>
      <c r="G93" s="266">
        <f>IF(ISBLANK(F93),"-",$D$103/$F$100*F93)</f>
        <v>111342146.64237846</v>
      </c>
    </row>
    <row r="94" spans="1:12" ht="26.25" customHeight="1" x14ac:dyDescent="0.4">
      <c r="A94" s="197" t="s">
        <v>43</v>
      </c>
      <c r="B94" s="313">
        <v>1</v>
      </c>
      <c r="C94" s="225">
        <v>2</v>
      </c>
      <c r="D94" s="315">
        <v>106527268</v>
      </c>
      <c r="E94" s="264">
        <f>IF(ISBLANK(D94),"-",$D$103/$D$100*D94)</f>
        <v>106850812.25952184</v>
      </c>
      <c r="F94" s="315">
        <v>118453892</v>
      </c>
      <c r="G94" s="267">
        <f>IF(ISBLANK(F94),"-",$D$103/$F$100*F94)</f>
        <v>110146735.36547151</v>
      </c>
    </row>
    <row r="95" spans="1:12" ht="26.25" customHeight="1" x14ac:dyDescent="0.4">
      <c r="A95" s="197" t="s">
        <v>44</v>
      </c>
      <c r="B95" s="313">
        <v>1</v>
      </c>
      <c r="C95" s="225">
        <v>3</v>
      </c>
      <c r="D95" s="315">
        <v>106389102</v>
      </c>
      <c r="E95" s="264">
        <f>IF(ISBLANK(D95),"-",$D$103/$D$100*D95)</f>
        <v>106712226.62221207</v>
      </c>
      <c r="F95" s="315">
        <v>117747603</v>
      </c>
      <c r="G95" s="267">
        <f>IF(ISBLANK(F95),"-",$D$103/$F$100*F95)</f>
        <v>109489978.32472739</v>
      </c>
    </row>
    <row r="96" spans="1:12" ht="26.25" customHeight="1" x14ac:dyDescent="0.4">
      <c r="A96" s="197" t="s">
        <v>45</v>
      </c>
      <c r="B96" s="313">
        <v>1</v>
      </c>
      <c r="C96" s="252">
        <v>4</v>
      </c>
      <c r="D96" s="316"/>
      <c r="E96" s="265" t="str">
        <f>IF(ISBLANK(D96),"-",$D$103/$D$100*D96)</f>
        <v>-</v>
      </c>
      <c r="F96" s="326"/>
      <c r="G96" s="268" t="str">
        <f>IF(ISBLANK(F96),"-",$D$103/$F$100*F96)</f>
        <v>-</v>
      </c>
    </row>
    <row r="97" spans="1:10" ht="27" customHeight="1" thickBot="1" x14ac:dyDescent="0.45">
      <c r="A97" s="197" t="s">
        <v>46</v>
      </c>
      <c r="B97" s="313">
        <v>1</v>
      </c>
      <c r="C97" s="306" t="s">
        <v>47</v>
      </c>
      <c r="D97" s="301">
        <f>AVERAGE(D93:D96)</f>
        <v>106466605.33333333</v>
      </c>
      <c r="E97" s="227">
        <f>AVERAGE(E93:E96)</f>
        <v>106789965.34840833</v>
      </c>
      <c r="F97" s="250">
        <f>AVERAGE(F93:F96)</f>
        <v>118646985</v>
      </c>
      <c r="G97" s="269">
        <f>AVERAGE(G93:G96)</f>
        <v>110326286.77752578</v>
      </c>
    </row>
    <row r="98" spans="1:10" ht="26.25" customHeight="1" x14ac:dyDescent="0.4">
      <c r="A98" s="197" t="s">
        <v>48</v>
      </c>
      <c r="B98" s="310">
        <v>1</v>
      </c>
      <c r="C98" s="293" t="s">
        <v>75</v>
      </c>
      <c r="D98" s="317">
        <f>D43</f>
        <v>10.039999999999999</v>
      </c>
      <c r="E98" s="307"/>
      <c r="F98" s="318">
        <f>F43</f>
        <v>10.83</v>
      </c>
    </row>
    <row r="99" spans="1:10" ht="26.25" customHeight="1" x14ac:dyDescent="0.4">
      <c r="A99" s="197" t="s">
        <v>49</v>
      </c>
      <c r="B99" s="310">
        <v>1</v>
      </c>
      <c r="C99" s="294" t="s">
        <v>76</v>
      </c>
      <c r="D99" s="295">
        <f>D98*$B$89</f>
        <v>10.039999999999999</v>
      </c>
      <c r="E99" s="225"/>
      <c r="F99" s="209">
        <f>F98*$B$89</f>
        <v>10.83</v>
      </c>
    </row>
    <row r="100" spans="1:10" ht="19.5" customHeight="1" thickBot="1" x14ac:dyDescent="0.35">
      <c r="A100" s="197" t="s">
        <v>50</v>
      </c>
      <c r="B100" s="338">
        <f>(B99/B98)*(B97/B96)*(B95/B94)*(B93/B92)*B91</f>
        <v>100</v>
      </c>
      <c r="C100" s="294" t="s">
        <v>51</v>
      </c>
      <c r="D100" s="302">
        <f>D99*$B$84/100</f>
        <v>9.9697199999999988</v>
      </c>
      <c r="E100" s="226"/>
      <c r="F100" s="210">
        <f>F99*$B$84/100</f>
        <v>10.754189999999999</v>
      </c>
    </row>
    <row r="101" spans="1:10" ht="19.5" customHeight="1" thickBot="1" x14ac:dyDescent="0.35">
      <c r="A101" s="454" t="s">
        <v>52</v>
      </c>
      <c r="B101" s="455"/>
      <c r="C101" s="294" t="s">
        <v>53</v>
      </c>
      <c r="D101" s="295">
        <f>D100/$B$100</f>
        <v>9.9697199999999986E-2</v>
      </c>
      <c r="E101" s="226"/>
      <c r="F101" s="211">
        <f>F100/$B$100</f>
        <v>0.1075419</v>
      </c>
      <c r="H101" s="282"/>
    </row>
    <row r="102" spans="1:10" ht="19.5" customHeight="1" thickBot="1" x14ac:dyDescent="0.35">
      <c r="A102" s="456"/>
      <c r="B102" s="457"/>
      <c r="C102" s="294" t="s">
        <v>85</v>
      </c>
      <c r="D102" s="302">
        <f>$B$56/$B$118</f>
        <v>0.1</v>
      </c>
      <c r="F102" s="213"/>
      <c r="G102" s="283"/>
      <c r="H102" s="282"/>
    </row>
    <row r="103" spans="1:10" ht="18.75" x14ac:dyDescent="0.3">
      <c r="C103" s="294" t="s">
        <v>54</v>
      </c>
      <c r="D103" s="295">
        <f>D102*$B$100</f>
        <v>10</v>
      </c>
      <c r="F103" s="213"/>
      <c r="H103" s="282"/>
    </row>
    <row r="104" spans="1:10" ht="19.5" customHeight="1" thickBot="1" x14ac:dyDescent="0.35">
      <c r="C104" s="296" t="s">
        <v>55</v>
      </c>
      <c r="D104" s="303">
        <f>D103/B34</f>
        <v>10</v>
      </c>
      <c r="F104" s="216"/>
      <c r="H104" s="282"/>
      <c r="J104" s="228"/>
    </row>
    <row r="105" spans="1:10" ht="18.75" x14ac:dyDescent="0.3">
      <c r="C105" s="297" t="s">
        <v>56</v>
      </c>
      <c r="D105" s="298">
        <f>AVERAGE(E93:E96,G93:G96)</f>
        <v>108558126.06296706</v>
      </c>
      <c r="F105" s="216"/>
      <c r="G105" s="283"/>
      <c r="H105" s="282"/>
      <c r="J105" s="230"/>
    </row>
    <row r="106" spans="1:10" ht="18.75" x14ac:dyDescent="0.3">
      <c r="C106" s="212" t="s">
        <v>57</v>
      </c>
      <c r="D106" s="229">
        <f>STDEV(E93:E96,G93:G96)/D105</f>
        <v>1.866673483371413E-2</v>
      </c>
      <c r="F106" s="216"/>
      <c r="H106" s="282"/>
      <c r="J106" s="230"/>
    </row>
    <row r="107" spans="1:10" ht="19.5" customHeight="1" thickBot="1" x14ac:dyDescent="0.35">
      <c r="C107" s="214" t="s">
        <v>3</v>
      </c>
      <c r="D107" s="231">
        <f>COUNT(E93:E96,G93:G96)</f>
        <v>6</v>
      </c>
      <c r="F107" s="216"/>
      <c r="H107" s="282"/>
      <c r="J107" s="230"/>
    </row>
    <row r="108" spans="1:10" ht="19.5" customHeight="1" thickBot="1" x14ac:dyDescent="0.35">
      <c r="A108" s="183"/>
      <c r="B108" s="183"/>
      <c r="C108" s="183"/>
      <c r="D108" s="183"/>
      <c r="E108" s="183"/>
    </row>
    <row r="109" spans="1:10" ht="26.25" customHeight="1" x14ac:dyDescent="0.4">
      <c r="A109" s="196" t="s">
        <v>77</v>
      </c>
      <c r="B109" s="312">
        <v>1000</v>
      </c>
      <c r="C109" s="336" t="s">
        <v>93</v>
      </c>
      <c r="D109" s="232" t="s">
        <v>40</v>
      </c>
      <c r="E109" s="233" t="s">
        <v>78</v>
      </c>
      <c r="F109" s="234" t="s">
        <v>79</v>
      </c>
    </row>
    <row r="110" spans="1:10" ht="26.25" customHeight="1" x14ac:dyDescent="0.4">
      <c r="A110" s="197" t="s">
        <v>80</v>
      </c>
      <c r="B110" s="313">
        <v>1</v>
      </c>
      <c r="C110" s="203">
        <v>1</v>
      </c>
      <c r="D110" s="327">
        <v>55003199</v>
      </c>
      <c r="E110" s="235">
        <f t="shared" ref="E110:E115" si="1">IF(ISBLANK(D110),"-",D110/$D$105*$D$102*$B$118)</f>
        <v>50.667049068345605</v>
      </c>
      <c r="F110" s="236">
        <f t="shared" ref="F110:F115" si="2">IF(ISBLANK(D110), "-", E110/$B$56)</f>
        <v>0.50667049068345604</v>
      </c>
    </row>
    <row r="111" spans="1:10" ht="26.25" customHeight="1" x14ac:dyDescent="0.4">
      <c r="A111" s="197" t="s">
        <v>64</v>
      </c>
      <c r="B111" s="313">
        <v>1</v>
      </c>
      <c r="C111" s="203">
        <v>2</v>
      </c>
      <c r="D111" s="327">
        <v>55788490</v>
      </c>
      <c r="E111" s="237">
        <f t="shared" si="1"/>
        <v>51.390432041578315</v>
      </c>
      <c r="F111" s="258">
        <f t="shared" si="2"/>
        <v>0.51390432041578316</v>
      </c>
    </row>
    <row r="112" spans="1:10" ht="26.25" customHeight="1" x14ac:dyDescent="0.4">
      <c r="A112" s="197" t="s">
        <v>65</v>
      </c>
      <c r="B112" s="313">
        <v>1</v>
      </c>
      <c r="C112" s="203">
        <v>3</v>
      </c>
      <c r="D112" s="327">
        <v>55310594</v>
      </c>
      <c r="E112" s="237">
        <f t="shared" si="1"/>
        <v>50.950210735876325</v>
      </c>
      <c r="F112" s="258">
        <f t="shared" si="2"/>
        <v>0.50950210735876322</v>
      </c>
    </row>
    <row r="113" spans="1:10" ht="26.25" customHeight="1" x14ac:dyDescent="0.4">
      <c r="A113" s="197" t="s">
        <v>66</v>
      </c>
      <c r="B113" s="313">
        <v>1</v>
      </c>
      <c r="C113" s="203">
        <v>4</v>
      </c>
      <c r="D113" s="327">
        <v>55819509</v>
      </c>
      <c r="E113" s="237">
        <f t="shared" si="1"/>
        <v>51.419005674087416</v>
      </c>
      <c r="F113" s="258">
        <f t="shared" si="2"/>
        <v>0.51419005674087415</v>
      </c>
    </row>
    <row r="114" spans="1:10" ht="26.25" customHeight="1" x14ac:dyDescent="0.4">
      <c r="A114" s="197" t="s">
        <v>67</v>
      </c>
      <c r="B114" s="313">
        <v>1</v>
      </c>
      <c r="C114" s="203">
        <v>5</v>
      </c>
      <c r="D114" s="327">
        <v>55342917</v>
      </c>
      <c r="E114" s="237">
        <f t="shared" si="1"/>
        <v>50.979985568191736</v>
      </c>
      <c r="F114" s="258">
        <f t="shared" si="2"/>
        <v>0.50979985568191732</v>
      </c>
    </row>
    <row r="115" spans="1:10" ht="26.25" customHeight="1" x14ac:dyDescent="0.4">
      <c r="A115" s="197" t="s">
        <v>69</v>
      </c>
      <c r="B115" s="313">
        <v>1</v>
      </c>
      <c r="C115" s="205">
        <v>6</v>
      </c>
      <c r="D115" s="328">
        <v>55032864</v>
      </c>
      <c r="E115" s="238">
        <f t="shared" si="1"/>
        <v>50.694375442773627</v>
      </c>
      <c r="F115" s="259">
        <f t="shared" si="2"/>
        <v>0.50694375442773632</v>
      </c>
    </row>
    <row r="116" spans="1:10" ht="26.25" customHeight="1" x14ac:dyDescent="0.4">
      <c r="A116" s="197" t="s">
        <v>70</v>
      </c>
      <c r="B116" s="313">
        <v>1</v>
      </c>
      <c r="C116" s="203"/>
      <c r="D116" s="225"/>
      <c r="E116" s="307"/>
      <c r="F116" s="239"/>
    </row>
    <row r="117" spans="1:10" ht="26.25" customHeight="1" x14ac:dyDescent="0.4">
      <c r="A117" s="197" t="s">
        <v>71</v>
      </c>
      <c r="B117" s="313">
        <v>1</v>
      </c>
      <c r="C117" s="203"/>
      <c r="D117" s="240"/>
      <c r="E117" s="241" t="s">
        <v>47</v>
      </c>
      <c r="F117" s="242">
        <f>AVERAGE(F110:F115)</f>
        <v>0.51016843088475505</v>
      </c>
    </row>
    <row r="118" spans="1:10" ht="19.5" customHeight="1" thickBot="1" x14ac:dyDescent="0.35">
      <c r="A118" s="197" t="s">
        <v>72</v>
      </c>
      <c r="B118" s="285">
        <f>(B117/B116)*(B115/B114)*(B113/B112)*(B111/B110)*B109</f>
        <v>1000</v>
      </c>
      <c r="C118" s="243"/>
      <c r="D118" s="244"/>
      <c r="E118" s="306" t="s">
        <v>57</v>
      </c>
      <c r="F118" s="245">
        <f>STDEV(F110:F115)/F117</f>
        <v>6.4024388955619804E-3</v>
      </c>
      <c r="I118" s="307"/>
    </row>
    <row r="119" spans="1:10" ht="19.5" customHeight="1" thickBot="1" x14ac:dyDescent="0.35">
      <c r="A119" s="454" t="s">
        <v>52</v>
      </c>
      <c r="B119" s="464"/>
      <c r="C119" s="246"/>
      <c r="D119" s="247"/>
      <c r="E119" s="248" t="s">
        <v>3</v>
      </c>
      <c r="F119" s="231">
        <f>COUNT(F110:F115)</f>
        <v>6</v>
      </c>
      <c r="I119" s="307"/>
      <c r="J119" s="230"/>
    </row>
    <row r="120" spans="1:10" ht="19.5" customHeight="1" thickBot="1" x14ac:dyDescent="0.35">
      <c r="A120" s="456"/>
      <c r="B120" s="465"/>
      <c r="C120" s="307"/>
      <c r="D120" s="307"/>
      <c r="E120" s="307"/>
      <c r="F120" s="225"/>
      <c r="G120" s="307"/>
      <c r="H120" s="307"/>
      <c r="I120" s="307"/>
    </row>
    <row r="121" spans="1:10" ht="18.75" x14ac:dyDescent="0.3">
      <c r="A121" s="194"/>
      <c r="B121" s="194"/>
      <c r="C121" s="307"/>
      <c r="D121" s="307"/>
      <c r="E121" s="307"/>
      <c r="F121" s="225"/>
      <c r="G121" s="307"/>
      <c r="H121" s="307"/>
      <c r="I121" s="307"/>
    </row>
    <row r="122" spans="1:10" ht="18.75" x14ac:dyDescent="0.3">
      <c r="A122" s="274" t="s">
        <v>89</v>
      </c>
      <c r="B122" s="306" t="s">
        <v>81</v>
      </c>
      <c r="C122" s="471" t="str">
        <f>B20</f>
        <v>Ritonavir</v>
      </c>
      <c r="D122" s="471"/>
      <c r="E122" s="307" t="s">
        <v>82</v>
      </c>
      <c r="F122" s="307"/>
      <c r="G122" s="308">
        <f>F117</f>
        <v>0.51016843088475505</v>
      </c>
      <c r="H122" s="307"/>
      <c r="I122" s="307"/>
    </row>
    <row r="123" spans="1:10" ht="18.75" x14ac:dyDescent="0.3">
      <c r="A123" s="194"/>
      <c r="B123" s="194"/>
      <c r="C123" s="307"/>
      <c r="D123" s="307"/>
      <c r="E123" s="307"/>
      <c r="F123" s="225"/>
      <c r="G123" s="307"/>
      <c r="H123" s="307"/>
      <c r="I123" s="307"/>
    </row>
    <row r="124" spans="1:10" ht="26.25" customHeight="1" x14ac:dyDescent="0.4">
      <c r="A124" s="187" t="s">
        <v>91</v>
      </c>
      <c r="B124" s="187" t="s">
        <v>92</v>
      </c>
      <c r="D124" s="325" t="s">
        <v>98</v>
      </c>
    </row>
    <row r="125" spans="1:10" ht="19.5" customHeight="1" thickBot="1" x14ac:dyDescent="0.35">
      <c r="A125" s="183"/>
      <c r="B125" s="183"/>
      <c r="C125" s="183"/>
      <c r="D125" s="183"/>
      <c r="E125" s="183"/>
    </row>
    <row r="126" spans="1:10" ht="26.25" customHeight="1" x14ac:dyDescent="0.4">
      <c r="A126" s="196" t="s">
        <v>77</v>
      </c>
      <c r="B126" s="312">
        <v>1000</v>
      </c>
      <c r="C126" s="336" t="s">
        <v>93</v>
      </c>
      <c r="D126" s="232" t="s">
        <v>40</v>
      </c>
      <c r="E126" s="233" t="s">
        <v>78</v>
      </c>
      <c r="F126" s="234" t="s">
        <v>79</v>
      </c>
    </row>
    <row r="127" spans="1:10" ht="26.25" customHeight="1" x14ac:dyDescent="0.4">
      <c r="A127" s="197" t="s">
        <v>80</v>
      </c>
      <c r="B127" s="313">
        <v>1</v>
      </c>
      <c r="C127" s="203">
        <v>1</v>
      </c>
      <c r="D127" s="327">
        <v>108741250</v>
      </c>
      <c r="E127" s="289">
        <f t="shared" ref="E127:E132" si="3">IF(ISBLANK(D127),"-",D127/$D$105*$D$102*$B$135)</f>
        <v>100.16868745221959</v>
      </c>
      <c r="F127" s="286">
        <f t="shared" ref="F127:F132" si="4">IF(ISBLANK(D127), "-", E127/$B$56)</f>
        <v>1.0016868745221958</v>
      </c>
    </row>
    <row r="128" spans="1:10" ht="26.25" customHeight="1" x14ac:dyDescent="0.4">
      <c r="A128" s="197" t="s">
        <v>64</v>
      </c>
      <c r="B128" s="313">
        <v>1</v>
      </c>
      <c r="C128" s="203">
        <v>2</v>
      </c>
      <c r="D128" s="327">
        <v>108741306</v>
      </c>
      <c r="E128" s="290">
        <f t="shared" si="3"/>
        <v>100.16873903748734</v>
      </c>
      <c r="F128" s="287">
        <f t="shared" si="4"/>
        <v>1.0016873903748733</v>
      </c>
    </row>
    <row r="129" spans="1:10" ht="26.25" customHeight="1" x14ac:dyDescent="0.4">
      <c r="A129" s="197" t="s">
        <v>65</v>
      </c>
      <c r="B129" s="313">
        <v>1</v>
      </c>
      <c r="C129" s="203">
        <v>3</v>
      </c>
      <c r="D129" s="327">
        <v>108490148</v>
      </c>
      <c r="E129" s="290">
        <f t="shared" si="3"/>
        <v>99.93738095393465</v>
      </c>
      <c r="F129" s="287">
        <f t="shared" si="4"/>
        <v>0.99937380953934651</v>
      </c>
    </row>
    <row r="130" spans="1:10" ht="26.25" customHeight="1" x14ac:dyDescent="0.4">
      <c r="A130" s="197" t="s">
        <v>66</v>
      </c>
      <c r="B130" s="313">
        <v>1</v>
      </c>
      <c r="C130" s="203">
        <v>4</v>
      </c>
      <c r="D130" s="327">
        <v>108356764</v>
      </c>
      <c r="E130" s="290">
        <f t="shared" si="3"/>
        <v>99.814512215464859</v>
      </c>
      <c r="F130" s="287">
        <f t="shared" si="4"/>
        <v>0.99814512215464857</v>
      </c>
    </row>
    <row r="131" spans="1:10" ht="26.25" customHeight="1" x14ac:dyDescent="0.4">
      <c r="A131" s="197" t="s">
        <v>67</v>
      </c>
      <c r="B131" s="313">
        <v>1</v>
      </c>
      <c r="C131" s="203">
        <v>5</v>
      </c>
      <c r="D131" s="327">
        <v>108703077</v>
      </c>
      <c r="E131" s="290">
        <f t="shared" si="3"/>
        <v>100.13352380175472</v>
      </c>
      <c r="F131" s="287">
        <f t="shared" si="4"/>
        <v>1.0013352380175471</v>
      </c>
    </row>
    <row r="132" spans="1:10" ht="26.25" customHeight="1" x14ac:dyDescent="0.4">
      <c r="A132" s="197" t="s">
        <v>69</v>
      </c>
      <c r="B132" s="313">
        <v>1</v>
      </c>
      <c r="C132" s="205">
        <v>6</v>
      </c>
      <c r="D132" s="328">
        <v>108466314</v>
      </c>
      <c r="E132" s="291">
        <f t="shared" si="3"/>
        <v>99.915425895511675</v>
      </c>
      <c r="F132" s="288">
        <f t="shared" si="4"/>
        <v>0.99915425895511678</v>
      </c>
    </row>
    <row r="133" spans="1:10" ht="26.25" customHeight="1" x14ac:dyDescent="0.4">
      <c r="A133" s="197" t="s">
        <v>70</v>
      </c>
      <c r="B133" s="313">
        <v>1</v>
      </c>
      <c r="C133" s="203"/>
      <c r="D133" s="225"/>
      <c r="E133" s="307"/>
      <c r="F133" s="239"/>
    </row>
    <row r="134" spans="1:10" ht="26.25" customHeight="1" x14ac:dyDescent="0.4">
      <c r="A134" s="197" t="s">
        <v>71</v>
      </c>
      <c r="B134" s="313">
        <v>1</v>
      </c>
      <c r="C134" s="203"/>
      <c r="D134" s="240"/>
      <c r="E134" s="241" t="s">
        <v>47</v>
      </c>
      <c r="F134" s="329">
        <f>AVERAGE(F127:F132)</f>
        <v>1.000230448927288</v>
      </c>
    </row>
    <row r="135" spans="1:10" ht="27" customHeight="1" thickBot="1" x14ac:dyDescent="0.45">
      <c r="A135" s="197" t="s">
        <v>72</v>
      </c>
      <c r="B135" s="313">
        <f>(B134/B133)*(B132/B131)*(B130/B129)*(B128/B127)*B126</f>
        <v>1000</v>
      </c>
      <c r="C135" s="243"/>
      <c r="D135" s="244"/>
      <c r="E135" s="306" t="s">
        <v>57</v>
      </c>
      <c r="F135" s="330">
        <f>STDEV(F127:F132)/F134</f>
        <v>1.5296812427628406E-3</v>
      </c>
      <c r="I135" s="307"/>
    </row>
    <row r="136" spans="1:10" ht="27" customHeight="1" thickBot="1" x14ac:dyDescent="0.45">
      <c r="A136" s="454" t="s">
        <v>52</v>
      </c>
      <c r="B136" s="464"/>
      <c r="C136" s="246"/>
      <c r="D136" s="247"/>
      <c r="E136" s="248" t="s">
        <v>3</v>
      </c>
      <c r="F136" s="331">
        <f>COUNT(F127:F132)</f>
        <v>6</v>
      </c>
      <c r="I136" s="307"/>
      <c r="J136" s="230"/>
    </row>
    <row r="137" spans="1:10" ht="19.5" customHeight="1" thickBot="1" x14ac:dyDescent="0.35">
      <c r="A137" s="456"/>
      <c r="B137" s="465"/>
      <c r="C137" s="307"/>
      <c r="D137" s="307"/>
      <c r="E137" s="307"/>
      <c r="F137" s="225"/>
      <c r="G137" s="307"/>
      <c r="H137" s="307"/>
      <c r="I137" s="307"/>
    </row>
    <row r="138" spans="1:10" ht="18.75" x14ac:dyDescent="0.3">
      <c r="A138" s="194"/>
      <c r="B138" s="194"/>
      <c r="C138" s="307"/>
      <c r="D138" s="307"/>
      <c r="E138" s="307"/>
      <c r="F138" s="225"/>
      <c r="G138" s="307"/>
      <c r="H138" s="307"/>
      <c r="I138" s="307"/>
    </row>
    <row r="139" spans="1:10" ht="26.25" customHeight="1" x14ac:dyDescent="0.4">
      <c r="A139" s="274" t="s">
        <v>89</v>
      </c>
      <c r="B139" s="306" t="s">
        <v>81</v>
      </c>
      <c r="C139" s="471" t="str">
        <f>B20</f>
        <v>Ritonavir</v>
      </c>
      <c r="D139" s="471"/>
      <c r="E139" s="307" t="s">
        <v>82</v>
      </c>
      <c r="F139" s="307"/>
      <c r="G139" s="332">
        <f>F134</f>
        <v>1.000230448927288</v>
      </c>
      <c r="H139" s="307"/>
      <c r="I139" s="307"/>
    </row>
    <row r="140" spans="1:10" ht="18.75" x14ac:dyDescent="0.3">
      <c r="A140" s="274"/>
      <c r="B140" s="306"/>
      <c r="C140" s="338"/>
      <c r="D140" s="338"/>
      <c r="E140" s="307"/>
      <c r="F140" s="307"/>
      <c r="G140" s="308"/>
      <c r="H140" s="307"/>
      <c r="I140" s="307"/>
    </row>
    <row r="141" spans="1:10" ht="26.25" customHeight="1" x14ac:dyDescent="0.4">
      <c r="A141" s="187" t="s">
        <v>91</v>
      </c>
      <c r="B141" s="187" t="s">
        <v>92</v>
      </c>
      <c r="D141" s="325"/>
      <c r="H141" s="307"/>
      <c r="I141" s="307"/>
    </row>
    <row r="142" spans="1:10" ht="19.5" customHeight="1" thickBot="1" x14ac:dyDescent="0.35">
      <c r="A142" s="183"/>
      <c r="B142" s="183"/>
      <c r="C142" s="183"/>
      <c r="D142" s="183"/>
      <c r="E142" s="183"/>
      <c r="H142" s="307"/>
      <c r="I142" s="307"/>
    </row>
    <row r="143" spans="1:10" ht="26.25" customHeight="1" x14ac:dyDescent="0.4">
      <c r="A143" s="196" t="s">
        <v>77</v>
      </c>
      <c r="B143" s="312"/>
      <c r="C143" s="336" t="s">
        <v>93</v>
      </c>
      <c r="D143" s="232" t="s">
        <v>40</v>
      </c>
      <c r="E143" s="233" t="s">
        <v>78</v>
      </c>
      <c r="F143" s="234" t="s">
        <v>79</v>
      </c>
      <c r="H143" s="307"/>
      <c r="I143" s="307"/>
    </row>
    <row r="144" spans="1:10" ht="26.25" customHeight="1" x14ac:dyDescent="0.4">
      <c r="A144" s="197" t="s">
        <v>80</v>
      </c>
      <c r="B144" s="313"/>
      <c r="C144" s="203">
        <v>1</v>
      </c>
      <c r="D144" s="327"/>
      <c r="E144" s="289" t="str">
        <f t="shared" ref="E144:E149" si="5">IF(ISBLANK(D144),"-",D144/$D$105*$D$102*$B$152)</f>
        <v>-</v>
      </c>
      <c r="F144" s="286" t="str">
        <f t="shared" ref="F144:F149" si="6">IF(ISBLANK(D144), "-", E144/$B$56)</f>
        <v>-</v>
      </c>
      <c r="H144" s="307"/>
      <c r="I144" s="307"/>
    </row>
    <row r="145" spans="1:9" ht="26.25" customHeight="1" x14ac:dyDescent="0.4">
      <c r="A145" s="197" t="s">
        <v>64</v>
      </c>
      <c r="B145" s="313"/>
      <c r="C145" s="203">
        <v>2</v>
      </c>
      <c r="D145" s="327"/>
      <c r="E145" s="290" t="str">
        <f t="shared" si="5"/>
        <v>-</v>
      </c>
      <c r="F145" s="287" t="str">
        <f t="shared" si="6"/>
        <v>-</v>
      </c>
      <c r="H145" s="307"/>
      <c r="I145" s="307"/>
    </row>
    <row r="146" spans="1:9" ht="26.25" customHeight="1" x14ac:dyDescent="0.4">
      <c r="A146" s="197" t="s">
        <v>65</v>
      </c>
      <c r="B146" s="313"/>
      <c r="C146" s="203">
        <v>3</v>
      </c>
      <c r="D146" s="327"/>
      <c r="E146" s="290" t="str">
        <f t="shared" si="5"/>
        <v>-</v>
      </c>
      <c r="F146" s="287" t="str">
        <f t="shared" si="6"/>
        <v>-</v>
      </c>
      <c r="H146" s="307"/>
      <c r="I146" s="307"/>
    </row>
    <row r="147" spans="1:9" ht="26.25" customHeight="1" x14ac:dyDescent="0.4">
      <c r="A147" s="197" t="s">
        <v>66</v>
      </c>
      <c r="B147" s="313"/>
      <c r="C147" s="203">
        <v>4</v>
      </c>
      <c r="D147" s="327"/>
      <c r="E147" s="290" t="str">
        <f t="shared" si="5"/>
        <v>-</v>
      </c>
      <c r="F147" s="287" t="str">
        <f t="shared" si="6"/>
        <v>-</v>
      </c>
      <c r="H147" s="307"/>
      <c r="I147" s="307"/>
    </row>
    <row r="148" spans="1:9" ht="26.25" customHeight="1" x14ac:dyDescent="0.4">
      <c r="A148" s="197" t="s">
        <v>67</v>
      </c>
      <c r="B148" s="313"/>
      <c r="C148" s="203">
        <v>5</v>
      </c>
      <c r="D148" s="327"/>
      <c r="E148" s="290" t="str">
        <f t="shared" si="5"/>
        <v>-</v>
      </c>
      <c r="F148" s="287" t="str">
        <f t="shared" si="6"/>
        <v>-</v>
      </c>
      <c r="H148" s="307"/>
      <c r="I148" s="307"/>
    </row>
    <row r="149" spans="1:9" ht="26.25" customHeight="1" x14ac:dyDescent="0.4">
      <c r="A149" s="197" t="s">
        <v>69</v>
      </c>
      <c r="B149" s="313"/>
      <c r="C149" s="205">
        <v>6</v>
      </c>
      <c r="D149" s="328"/>
      <c r="E149" s="291" t="str">
        <f t="shared" si="5"/>
        <v>-</v>
      </c>
      <c r="F149" s="288" t="str">
        <f t="shared" si="6"/>
        <v>-</v>
      </c>
      <c r="H149" s="307"/>
      <c r="I149" s="307"/>
    </row>
    <row r="150" spans="1:9" ht="26.25" customHeight="1" x14ac:dyDescent="0.4">
      <c r="A150" s="197" t="s">
        <v>70</v>
      </c>
      <c r="B150" s="313"/>
      <c r="C150" s="203"/>
      <c r="D150" s="225"/>
      <c r="E150" s="307"/>
      <c r="F150" s="239"/>
      <c r="H150" s="307"/>
      <c r="I150" s="307"/>
    </row>
    <row r="151" spans="1:9" ht="26.25" customHeight="1" x14ac:dyDescent="0.4">
      <c r="A151" s="197" t="s">
        <v>71</v>
      </c>
      <c r="B151" s="313"/>
      <c r="C151" s="203"/>
      <c r="D151" s="240"/>
      <c r="E151" s="241" t="s">
        <v>47</v>
      </c>
      <c r="F151" s="329" t="e">
        <f>AVERAGE(F144:F149)</f>
        <v>#DIV/0!</v>
      </c>
      <c r="H151" s="307"/>
      <c r="I151" s="307"/>
    </row>
    <row r="152" spans="1:9" ht="27" customHeight="1" thickBot="1" x14ac:dyDescent="0.45">
      <c r="A152" s="197" t="s">
        <v>72</v>
      </c>
      <c r="B152" s="313"/>
      <c r="C152" s="243"/>
      <c r="D152" s="244"/>
      <c r="E152" s="306" t="s">
        <v>57</v>
      </c>
      <c r="F152" s="330" t="e">
        <f>STDEV(F144:F149)/F151</f>
        <v>#DIV/0!</v>
      </c>
      <c r="H152" s="307"/>
      <c r="I152" s="307"/>
    </row>
    <row r="153" spans="1:9" ht="27" customHeight="1" thickBot="1" x14ac:dyDescent="0.45">
      <c r="A153" s="454" t="s">
        <v>52</v>
      </c>
      <c r="B153" s="464"/>
      <c r="C153" s="246"/>
      <c r="D153" s="247"/>
      <c r="E153" s="248" t="s">
        <v>3</v>
      </c>
      <c r="F153" s="331">
        <f>COUNT(F144:F149)</f>
        <v>0</v>
      </c>
      <c r="H153" s="307"/>
      <c r="I153" s="307"/>
    </row>
    <row r="154" spans="1:9" ht="19.5" customHeight="1" thickBot="1" x14ac:dyDescent="0.35">
      <c r="A154" s="456"/>
      <c r="B154" s="465"/>
      <c r="C154" s="307"/>
      <c r="D154" s="307"/>
      <c r="E154" s="307"/>
      <c r="F154" s="225"/>
      <c r="G154" s="307"/>
      <c r="H154" s="307"/>
      <c r="I154" s="307"/>
    </row>
    <row r="155" spans="1:9" ht="18.75" x14ac:dyDescent="0.3">
      <c r="A155" s="194"/>
      <c r="B155" s="194"/>
      <c r="C155" s="307"/>
      <c r="D155" s="307"/>
      <c r="E155" s="307"/>
      <c r="F155" s="225"/>
      <c r="G155" s="307"/>
      <c r="H155" s="307"/>
      <c r="I155" s="307"/>
    </row>
    <row r="156" spans="1:9" ht="26.25" customHeight="1" x14ac:dyDescent="0.4">
      <c r="A156" s="274" t="s">
        <v>89</v>
      </c>
      <c r="B156" s="306" t="s">
        <v>81</v>
      </c>
      <c r="C156" s="471" t="str">
        <f>B20</f>
        <v>Ritonavir</v>
      </c>
      <c r="D156" s="471"/>
      <c r="E156" s="307" t="s">
        <v>82</v>
      </c>
      <c r="F156" s="307"/>
      <c r="G156" s="332" t="e">
        <f>F151</f>
        <v>#DIV/0!</v>
      </c>
      <c r="H156" s="307"/>
      <c r="I156" s="307"/>
    </row>
    <row r="157" spans="1:9" ht="18.75" x14ac:dyDescent="0.3">
      <c r="A157" s="274"/>
      <c r="B157" s="306"/>
      <c r="C157" s="338"/>
      <c r="D157" s="338"/>
      <c r="E157" s="307"/>
      <c r="F157" s="307"/>
      <c r="G157" s="308"/>
      <c r="H157" s="307"/>
      <c r="I157" s="307"/>
    </row>
    <row r="158" spans="1:9" ht="26.25" customHeight="1" x14ac:dyDescent="0.4">
      <c r="A158" s="187" t="s">
        <v>91</v>
      </c>
      <c r="B158" s="187" t="s">
        <v>92</v>
      </c>
      <c r="D158" s="325"/>
      <c r="H158" s="307"/>
      <c r="I158" s="307"/>
    </row>
    <row r="159" spans="1:9" ht="19.5" customHeight="1" thickBot="1" x14ac:dyDescent="0.35">
      <c r="A159" s="183"/>
      <c r="B159" s="183"/>
      <c r="C159" s="183"/>
      <c r="D159" s="183"/>
      <c r="E159" s="183"/>
      <c r="H159" s="307"/>
      <c r="I159" s="307"/>
    </row>
    <row r="160" spans="1:9" ht="26.25" customHeight="1" x14ac:dyDescent="0.4">
      <c r="A160" s="196" t="s">
        <v>77</v>
      </c>
      <c r="B160" s="312"/>
      <c r="C160" s="336" t="s">
        <v>93</v>
      </c>
      <c r="D160" s="232" t="s">
        <v>40</v>
      </c>
      <c r="E160" s="233" t="s">
        <v>78</v>
      </c>
      <c r="F160" s="234" t="s">
        <v>79</v>
      </c>
      <c r="H160" s="307"/>
      <c r="I160" s="307"/>
    </row>
    <row r="161" spans="1:9" ht="26.25" customHeight="1" x14ac:dyDescent="0.4">
      <c r="A161" s="197" t="s">
        <v>80</v>
      </c>
      <c r="B161" s="313"/>
      <c r="C161" s="203">
        <v>1</v>
      </c>
      <c r="D161" s="327"/>
      <c r="E161" s="289" t="str">
        <f t="shared" ref="E161:E166" si="7">IF(ISBLANK(D161),"-",D161/$D$105*$D$102*$B$169)</f>
        <v>-</v>
      </c>
      <c r="F161" s="286" t="str">
        <f t="shared" ref="F161:F166" si="8">IF(ISBLANK(D161), "-", E161/$B$56)</f>
        <v>-</v>
      </c>
      <c r="H161" s="307"/>
      <c r="I161" s="307"/>
    </row>
    <row r="162" spans="1:9" ht="26.25" customHeight="1" x14ac:dyDescent="0.4">
      <c r="A162" s="197" t="s">
        <v>64</v>
      </c>
      <c r="B162" s="313"/>
      <c r="C162" s="203">
        <v>2</v>
      </c>
      <c r="D162" s="327"/>
      <c r="E162" s="290" t="str">
        <f t="shared" si="7"/>
        <v>-</v>
      </c>
      <c r="F162" s="287" t="str">
        <f t="shared" si="8"/>
        <v>-</v>
      </c>
      <c r="H162" s="307"/>
      <c r="I162" s="307"/>
    </row>
    <row r="163" spans="1:9" ht="26.25" customHeight="1" x14ac:dyDescent="0.4">
      <c r="A163" s="197" t="s">
        <v>65</v>
      </c>
      <c r="B163" s="313"/>
      <c r="C163" s="203">
        <v>3</v>
      </c>
      <c r="D163" s="327"/>
      <c r="E163" s="290" t="str">
        <f t="shared" si="7"/>
        <v>-</v>
      </c>
      <c r="F163" s="287" t="str">
        <f t="shared" si="8"/>
        <v>-</v>
      </c>
      <c r="H163" s="307"/>
      <c r="I163" s="307"/>
    </row>
    <row r="164" spans="1:9" ht="26.25" customHeight="1" x14ac:dyDescent="0.4">
      <c r="A164" s="197" t="s">
        <v>66</v>
      </c>
      <c r="B164" s="313"/>
      <c r="C164" s="203">
        <v>4</v>
      </c>
      <c r="D164" s="327"/>
      <c r="E164" s="290" t="str">
        <f t="shared" si="7"/>
        <v>-</v>
      </c>
      <c r="F164" s="287" t="str">
        <f t="shared" si="8"/>
        <v>-</v>
      </c>
      <c r="H164" s="307"/>
      <c r="I164" s="307"/>
    </row>
    <row r="165" spans="1:9" ht="26.25" customHeight="1" x14ac:dyDescent="0.4">
      <c r="A165" s="197" t="s">
        <v>67</v>
      </c>
      <c r="B165" s="313"/>
      <c r="C165" s="203">
        <v>5</v>
      </c>
      <c r="D165" s="327"/>
      <c r="E165" s="290" t="str">
        <f t="shared" si="7"/>
        <v>-</v>
      </c>
      <c r="F165" s="287" t="str">
        <f t="shared" si="8"/>
        <v>-</v>
      </c>
      <c r="H165" s="307"/>
      <c r="I165" s="307"/>
    </row>
    <row r="166" spans="1:9" ht="26.25" customHeight="1" x14ac:dyDescent="0.4">
      <c r="A166" s="197" t="s">
        <v>69</v>
      </c>
      <c r="B166" s="313"/>
      <c r="C166" s="205">
        <v>6</v>
      </c>
      <c r="D166" s="328"/>
      <c r="E166" s="291" t="str">
        <f t="shared" si="7"/>
        <v>-</v>
      </c>
      <c r="F166" s="288" t="str">
        <f t="shared" si="8"/>
        <v>-</v>
      </c>
      <c r="H166" s="307"/>
      <c r="I166" s="307"/>
    </row>
    <row r="167" spans="1:9" ht="26.25" customHeight="1" x14ac:dyDescent="0.4">
      <c r="A167" s="197" t="s">
        <v>70</v>
      </c>
      <c r="B167" s="313"/>
      <c r="C167" s="203"/>
      <c r="D167" s="225"/>
      <c r="E167" s="307"/>
      <c r="F167" s="239"/>
      <c r="H167" s="307"/>
      <c r="I167" s="307"/>
    </row>
    <row r="168" spans="1:9" ht="26.25" customHeight="1" x14ac:dyDescent="0.4">
      <c r="A168" s="197" t="s">
        <v>71</v>
      </c>
      <c r="B168" s="313"/>
      <c r="C168" s="203"/>
      <c r="D168" s="240"/>
      <c r="E168" s="241" t="s">
        <v>47</v>
      </c>
      <c r="F168" s="329" t="e">
        <f>AVERAGE(F161:F166)</f>
        <v>#DIV/0!</v>
      </c>
      <c r="H168" s="307"/>
      <c r="I168" s="307"/>
    </row>
    <row r="169" spans="1:9" ht="27" customHeight="1" thickBot="1" x14ac:dyDescent="0.45">
      <c r="A169" s="197" t="s">
        <v>72</v>
      </c>
      <c r="B169" s="313"/>
      <c r="C169" s="243"/>
      <c r="D169" s="244"/>
      <c r="E169" s="306" t="s">
        <v>57</v>
      </c>
      <c r="F169" s="330" t="e">
        <f>STDEV(F161:F166)/F168</f>
        <v>#DIV/0!</v>
      </c>
      <c r="H169" s="307"/>
      <c r="I169" s="307"/>
    </row>
    <row r="170" spans="1:9" ht="27" customHeight="1" thickBot="1" x14ac:dyDescent="0.45">
      <c r="A170" s="454" t="s">
        <v>52</v>
      </c>
      <c r="B170" s="464"/>
      <c r="C170" s="246"/>
      <c r="D170" s="247"/>
      <c r="E170" s="248" t="s">
        <v>3</v>
      </c>
      <c r="F170" s="331">
        <f>COUNT(F161:F166)</f>
        <v>0</v>
      </c>
      <c r="H170" s="307"/>
      <c r="I170" s="307"/>
    </row>
    <row r="171" spans="1:9" ht="19.5" customHeight="1" thickBot="1" x14ac:dyDescent="0.35">
      <c r="A171" s="456"/>
      <c r="B171" s="465"/>
      <c r="C171" s="307"/>
      <c r="D171" s="307"/>
      <c r="E171" s="307"/>
      <c r="F171" s="225"/>
      <c r="G171" s="307"/>
      <c r="H171" s="307"/>
      <c r="I171" s="307"/>
    </row>
    <row r="172" spans="1:9" ht="18.75" x14ac:dyDescent="0.3">
      <c r="A172" s="194"/>
      <c r="B172" s="194"/>
      <c r="C172" s="307"/>
      <c r="D172" s="307"/>
      <c r="E172" s="307"/>
      <c r="F172" s="225"/>
      <c r="G172" s="307"/>
      <c r="H172" s="307"/>
      <c r="I172" s="307"/>
    </row>
    <row r="173" spans="1:9" ht="26.25" customHeight="1" x14ac:dyDescent="0.4">
      <c r="A173" s="274" t="s">
        <v>89</v>
      </c>
      <c r="B173" s="306" t="s">
        <v>81</v>
      </c>
      <c r="C173" s="471" t="str">
        <f>B20</f>
        <v>Ritonavir</v>
      </c>
      <c r="D173" s="471"/>
      <c r="E173" s="307" t="s">
        <v>82</v>
      </c>
      <c r="F173" s="307"/>
      <c r="G173" s="332" t="e">
        <f>F168</f>
        <v>#DIV/0!</v>
      </c>
      <c r="H173" s="307"/>
      <c r="I173" s="307"/>
    </row>
    <row r="174" spans="1:9" ht="18.75" x14ac:dyDescent="0.3">
      <c r="A174" s="274"/>
      <c r="B174" s="306"/>
      <c r="C174" s="338"/>
      <c r="D174" s="338"/>
      <c r="E174" s="307"/>
      <c r="F174" s="307"/>
      <c r="G174" s="308"/>
      <c r="H174" s="307"/>
      <c r="I174" s="307"/>
    </row>
    <row r="175" spans="1:9" ht="19.5" customHeight="1" thickBot="1" x14ac:dyDescent="0.35">
      <c r="A175" s="339"/>
      <c r="B175" s="339"/>
      <c r="C175" s="260"/>
      <c r="D175" s="260"/>
      <c r="E175" s="260"/>
      <c r="F175" s="260"/>
      <c r="G175" s="260"/>
      <c r="H175" s="260"/>
    </row>
    <row r="176" spans="1:9" ht="18.75" x14ac:dyDescent="0.3">
      <c r="B176" s="472" t="s">
        <v>4</v>
      </c>
      <c r="C176" s="472"/>
      <c r="E176" s="335" t="s">
        <v>5</v>
      </c>
      <c r="F176" s="273"/>
      <c r="G176" s="472" t="s">
        <v>6</v>
      </c>
      <c r="H176" s="472"/>
    </row>
    <row r="177" spans="1:9" ht="83.1" customHeight="1" x14ac:dyDescent="0.3">
      <c r="A177" s="274" t="s">
        <v>7</v>
      </c>
      <c r="B177" s="304"/>
      <c r="C177" s="304"/>
      <c r="E177" s="271"/>
      <c r="F177" s="307"/>
      <c r="G177" s="271"/>
      <c r="H177" s="271"/>
    </row>
    <row r="178" spans="1:9" ht="83.1" customHeight="1" x14ac:dyDescent="0.3">
      <c r="A178" s="274" t="s">
        <v>8</v>
      </c>
      <c r="B178" s="305"/>
      <c r="C178" s="305"/>
      <c r="E178" s="270"/>
      <c r="F178" s="307"/>
      <c r="G178" s="272"/>
      <c r="H178" s="272"/>
    </row>
    <row r="179" spans="1:9" ht="18.75" x14ac:dyDescent="0.3">
      <c r="A179" s="225"/>
      <c r="B179" s="225"/>
      <c r="C179" s="225"/>
      <c r="D179" s="225"/>
      <c r="E179" s="225"/>
      <c r="F179" s="226"/>
      <c r="G179" s="225"/>
      <c r="H179" s="225"/>
      <c r="I179" s="307"/>
    </row>
    <row r="180" spans="1:9" ht="18.75" x14ac:dyDescent="0.3">
      <c r="A180" s="225"/>
      <c r="B180" s="225"/>
      <c r="C180" s="225"/>
      <c r="D180" s="225"/>
      <c r="E180" s="225"/>
      <c r="F180" s="226"/>
      <c r="G180" s="225"/>
      <c r="H180" s="225"/>
      <c r="I180" s="307"/>
    </row>
    <row r="181" spans="1:9" ht="18.75" x14ac:dyDescent="0.3">
      <c r="A181" s="225"/>
      <c r="B181" s="225"/>
      <c r="C181" s="225"/>
      <c r="D181" s="225"/>
      <c r="E181" s="225"/>
      <c r="F181" s="226"/>
      <c r="G181" s="225"/>
      <c r="H181" s="225"/>
      <c r="I181" s="307"/>
    </row>
    <row r="182" spans="1:9" ht="18.75" x14ac:dyDescent="0.3">
      <c r="A182" s="225"/>
      <c r="B182" s="225"/>
      <c r="C182" s="225"/>
      <c r="D182" s="225"/>
      <c r="E182" s="225"/>
      <c r="F182" s="226"/>
      <c r="G182" s="225"/>
      <c r="H182" s="225"/>
      <c r="I182" s="307"/>
    </row>
    <row r="183" spans="1:9" ht="18.75" x14ac:dyDescent="0.3">
      <c r="A183" s="225"/>
      <c r="B183" s="225"/>
      <c r="C183" s="225"/>
      <c r="D183" s="225"/>
      <c r="E183" s="225"/>
      <c r="F183" s="226"/>
      <c r="G183" s="225"/>
      <c r="H183" s="225"/>
      <c r="I183" s="307"/>
    </row>
    <row r="184" spans="1:9" ht="18.75" x14ac:dyDescent="0.3">
      <c r="A184" s="225"/>
      <c r="B184" s="225"/>
      <c r="C184" s="225"/>
      <c r="D184" s="225"/>
      <c r="E184" s="225"/>
      <c r="F184" s="226"/>
      <c r="G184" s="225"/>
      <c r="H184" s="225"/>
      <c r="I184" s="307"/>
    </row>
    <row r="185" spans="1:9" ht="18.75" x14ac:dyDescent="0.3">
      <c r="A185" s="225"/>
      <c r="B185" s="225"/>
      <c r="C185" s="225"/>
      <c r="D185" s="225"/>
      <c r="E185" s="225"/>
      <c r="F185" s="226"/>
      <c r="G185" s="225"/>
      <c r="H185" s="225"/>
      <c r="I185" s="307"/>
    </row>
    <row r="186" spans="1:9" ht="18.75" x14ac:dyDescent="0.3">
      <c r="A186" s="225"/>
      <c r="B186" s="225"/>
      <c r="C186" s="225"/>
      <c r="D186" s="225"/>
      <c r="E186" s="225"/>
      <c r="F186" s="226"/>
      <c r="G186" s="225"/>
      <c r="H186" s="225"/>
      <c r="I186" s="307"/>
    </row>
    <row r="187" spans="1:9" ht="18.75" x14ac:dyDescent="0.3">
      <c r="A187" s="225"/>
      <c r="B187" s="225"/>
      <c r="C187" s="225"/>
      <c r="D187" s="225"/>
      <c r="E187" s="225"/>
      <c r="F187" s="226"/>
      <c r="G187" s="225"/>
      <c r="H187" s="225"/>
      <c r="I187" s="307"/>
    </row>
    <row r="250" spans="1:1" x14ac:dyDescent="0.25">
      <c r="A250" s="281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0" zoomScaleNormal="75" zoomScaleSheetLayoutView="50" workbookViewId="0">
      <selection sqref="A1:H140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442" t="s">
        <v>23</v>
      </c>
      <c r="B1" s="442"/>
      <c r="C1" s="442"/>
      <c r="D1" s="442"/>
      <c r="E1" s="442"/>
      <c r="F1" s="442"/>
      <c r="G1" s="442"/>
      <c r="H1" s="442"/>
    </row>
    <row r="2" spans="1:8" x14ac:dyDescent="0.25">
      <c r="A2" s="442"/>
      <c r="B2" s="442"/>
      <c r="C2" s="442"/>
      <c r="D2" s="442"/>
      <c r="E2" s="442"/>
      <c r="F2" s="442"/>
      <c r="G2" s="442"/>
      <c r="H2" s="442"/>
    </row>
    <row r="3" spans="1:8" x14ac:dyDescent="0.25">
      <c r="A3" s="442"/>
      <c r="B3" s="442"/>
      <c r="C3" s="442"/>
      <c r="D3" s="442"/>
      <c r="E3" s="442"/>
      <c r="F3" s="442"/>
      <c r="G3" s="442"/>
      <c r="H3" s="442"/>
    </row>
    <row r="4" spans="1:8" x14ac:dyDescent="0.25">
      <c r="A4" s="442"/>
      <c r="B4" s="442"/>
      <c r="C4" s="442"/>
      <c r="D4" s="442"/>
      <c r="E4" s="442"/>
      <c r="F4" s="442"/>
      <c r="G4" s="442"/>
      <c r="H4" s="442"/>
    </row>
    <row r="5" spans="1:8" x14ac:dyDescent="0.25">
      <c r="A5" s="442"/>
      <c r="B5" s="442"/>
      <c r="C5" s="442"/>
      <c r="D5" s="442"/>
      <c r="E5" s="442"/>
      <c r="F5" s="442"/>
      <c r="G5" s="442"/>
      <c r="H5" s="442"/>
    </row>
    <row r="6" spans="1:8" x14ac:dyDescent="0.25">
      <c r="A6" s="442"/>
      <c r="B6" s="442"/>
      <c r="C6" s="442"/>
      <c r="D6" s="442"/>
      <c r="E6" s="442"/>
      <c r="F6" s="442"/>
      <c r="G6" s="442"/>
      <c r="H6" s="442"/>
    </row>
    <row r="7" spans="1:8" x14ac:dyDescent="0.25">
      <c r="A7" s="442"/>
      <c r="B7" s="442"/>
      <c r="C7" s="442"/>
      <c r="D7" s="442"/>
      <c r="E7" s="442"/>
      <c r="F7" s="442"/>
      <c r="G7" s="442"/>
      <c r="H7" s="442"/>
    </row>
    <row r="8" spans="1:8" x14ac:dyDescent="0.25">
      <c r="A8" s="443" t="s">
        <v>24</v>
      </c>
      <c r="B8" s="443"/>
      <c r="C8" s="443"/>
      <c r="D8" s="443"/>
      <c r="E8" s="443"/>
      <c r="F8" s="443"/>
      <c r="G8" s="443"/>
      <c r="H8" s="443"/>
    </row>
    <row r="9" spans="1:8" x14ac:dyDescent="0.25">
      <c r="A9" s="443"/>
      <c r="B9" s="443"/>
      <c r="C9" s="443"/>
      <c r="D9" s="443"/>
      <c r="E9" s="443"/>
      <c r="F9" s="443"/>
      <c r="G9" s="443"/>
      <c r="H9" s="443"/>
    </row>
    <row r="10" spans="1:8" x14ac:dyDescent="0.25">
      <c r="A10" s="443"/>
      <c r="B10" s="443"/>
      <c r="C10" s="443"/>
      <c r="D10" s="443"/>
      <c r="E10" s="443"/>
      <c r="F10" s="443"/>
      <c r="G10" s="443"/>
      <c r="H10" s="443"/>
    </row>
    <row r="11" spans="1:8" x14ac:dyDescent="0.25">
      <c r="A11" s="443"/>
      <c r="B11" s="443"/>
      <c r="C11" s="443"/>
      <c r="D11" s="443"/>
      <c r="E11" s="443"/>
      <c r="F11" s="443"/>
      <c r="G11" s="443"/>
      <c r="H11" s="443"/>
    </row>
    <row r="12" spans="1:8" x14ac:dyDescent="0.25">
      <c r="A12" s="443"/>
      <c r="B12" s="443"/>
      <c r="C12" s="443"/>
      <c r="D12" s="443"/>
      <c r="E12" s="443"/>
      <c r="F12" s="443"/>
      <c r="G12" s="443"/>
      <c r="H12" s="443"/>
    </row>
    <row r="13" spans="1:8" x14ac:dyDescent="0.25">
      <c r="A13" s="443"/>
      <c r="B13" s="443"/>
      <c r="C13" s="443"/>
      <c r="D13" s="443"/>
      <c r="E13" s="443"/>
      <c r="F13" s="443"/>
      <c r="G13" s="443"/>
      <c r="H13" s="443"/>
    </row>
    <row r="14" spans="1:8" x14ac:dyDescent="0.25">
      <c r="A14" s="443"/>
      <c r="B14" s="443"/>
      <c r="C14" s="443"/>
      <c r="D14" s="443"/>
      <c r="E14" s="443"/>
      <c r="F14" s="443"/>
      <c r="G14" s="443"/>
      <c r="H14" s="443"/>
    </row>
    <row r="15" spans="1:8" ht="19.5" customHeight="1" x14ac:dyDescent="0.25"/>
    <row r="16" spans="1:8" ht="19.5" customHeight="1" x14ac:dyDescent="0.25">
      <c r="A16" s="444" t="s">
        <v>9</v>
      </c>
      <c r="B16" s="445"/>
      <c r="C16" s="445"/>
      <c r="D16" s="445"/>
      <c r="E16" s="445"/>
      <c r="F16" s="445"/>
      <c r="G16" s="445"/>
      <c r="H16" s="446"/>
    </row>
    <row r="17" spans="1:14" ht="18.75" x14ac:dyDescent="0.3">
      <c r="A17" s="4" t="s">
        <v>25</v>
      </c>
      <c r="B17" s="4"/>
    </row>
    <row r="18" spans="1:14" ht="18.75" x14ac:dyDescent="0.3">
      <c r="A18" s="6" t="s">
        <v>11</v>
      </c>
      <c r="B18" s="447" t="s">
        <v>99</v>
      </c>
      <c r="C18" s="447"/>
      <c r="D18" s="99"/>
      <c r="E18" s="99"/>
    </row>
    <row r="19" spans="1:14" ht="18.75" x14ac:dyDescent="0.3">
      <c r="A19" s="6" t="s">
        <v>12</v>
      </c>
      <c r="B19" s="100" t="s">
        <v>101</v>
      </c>
      <c r="C19" s="5">
        <v>24</v>
      </c>
    </row>
    <row r="20" spans="1:14" ht="18.75" x14ac:dyDescent="0.3">
      <c r="A20" s="6" t="s">
        <v>13</v>
      </c>
      <c r="B20" s="100" t="s">
        <v>100</v>
      </c>
    </row>
    <row r="21" spans="1:14" ht="18.75" x14ac:dyDescent="0.3">
      <c r="A21" s="6" t="s">
        <v>14</v>
      </c>
      <c r="B21" s="124" t="s">
        <v>102</v>
      </c>
      <c r="C21" s="124"/>
      <c r="D21" s="124"/>
      <c r="E21" s="124"/>
      <c r="F21" s="124"/>
      <c r="G21" s="124"/>
      <c r="H21" s="124"/>
      <c r="I21" s="124"/>
    </row>
    <row r="22" spans="1:14" ht="18.75" x14ac:dyDescent="0.3">
      <c r="A22" s="6" t="s">
        <v>15</v>
      </c>
      <c r="B22" s="262">
        <v>42719</v>
      </c>
    </row>
    <row r="23" spans="1:14" ht="18.75" x14ac:dyDescent="0.3">
      <c r="A23" s="6" t="s">
        <v>16</v>
      </c>
      <c r="B23" s="262">
        <v>42723</v>
      </c>
    </row>
    <row r="24" spans="1:14" ht="18.75" x14ac:dyDescent="0.3">
      <c r="A24" s="6"/>
      <c r="B24" s="9"/>
    </row>
    <row r="25" spans="1:14" ht="18.75" x14ac:dyDescent="0.3">
      <c r="A25" s="10" t="s">
        <v>0</v>
      </c>
      <c r="B25" s="9"/>
    </row>
    <row r="26" spans="1:14" ht="26.25" customHeight="1" x14ac:dyDescent="0.4">
      <c r="A26" s="11" t="s">
        <v>1</v>
      </c>
      <c r="B26" s="182" t="s">
        <v>103</v>
      </c>
      <c r="C26" s="181"/>
    </row>
    <row r="27" spans="1:14" ht="26.25" customHeight="1" x14ac:dyDescent="0.4">
      <c r="A27" s="13" t="s">
        <v>26</v>
      </c>
      <c r="B27" s="157" t="s">
        <v>104</v>
      </c>
    </row>
    <row r="28" spans="1:14" ht="27" customHeight="1" x14ac:dyDescent="0.4">
      <c r="A28" s="13" t="s">
        <v>2</v>
      </c>
      <c r="B28" s="158">
        <v>100</v>
      </c>
    </row>
    <row r="29" spans="1:14" s="2" customFormat="1" ht="27" customHeight="1" x14ac:dyDescent="0.4">
      <c r="A29" s="13" t="s">
        <v>27</v>
      </c>
      <c r="B29" s="157">
        <v>0</v>
      </c>
      <c r="C29" s="448" t="s">
        <v>28</v>
      </c>
      <c r="D29" s="449"/>
      <c r="E29" s="449"/>
      <c r="F29" s="449"/>
      <c r="G29" s="450"/>
      <c r="I29" s="15"/>
      <c r="J29" s="15"/>
      <c r="K29" s="15"/>
      <c r="L29" s="15"/>
    </row>
    <row r="30" spans="1:14" s="2" customFormat="1" ht="19.5" customHeight="1" x14ac:dyDescent="0.3">
      <c r="A30" s="13" t="s">
        <v>29</v>
      </c>
      <c r="B30" s="12">
        <f>B28-B29</f>
        <v>100</v>
      </c>
      <c r="C30" s="16"/>
      <c r="D30" s="16"/>
      <c r="E30" s="16"/>
      <c r="F30" s="16"/>
      <c r="G30" s="17"/>
      <c r="I30" s="15"/>
      <c r="J30" s="15"/>
      <c r="K30" s="15"/>
      <c r="L30" s="15"/>
    </row>
    <row r="31" spans="1:14" s="2" customFormat="1" ht="27" customHeight="1" x14ac:dyDescent="0.4">
      <c r="A31" s="13" t="s">
        <v>30</v>
      </c>
      <c r="B31" s="159">
        <v>704.85599999999999</v>
      </c>
      <c r="C31" s="439" t="s">
        <v>31</v>
      </c>
      <c r="D31" s="440"/>
      <c r="E31" s="440"/>
      <c r="F31" s="440"/>
      <c r="G31" s="440"/>
      <c r="H31" s="441"/>
      <c r="I31" s="15"/>
      <c r="J31" s="15"/>
      <c r="K31" s="15"/>
      <c r="L31" s="15"/>
    </row>
    <row r="32" spans="1:14" s="2" customFormat="1" ht="27" customHeight="1" x14ac:dyDescent="0.4">
      <c r="A32" s="13" t="s">
        <v>32</v>
      </c>
      <c r="B32" s="159">
        <v>802.94100000000003</v>
      </c>
      <c r="C32" s="439" t="s">
        <v>33</v>
      </c>
      <c r="D32" s="440"/>
      <c r="E32" s="440"/>
      <c r="F32" s="440"/>
      <c r="G32" s="440"/>
      <c r="H32" s="441"/>
      <c r="I32" s="15"/>
      <c r="J32" s="15"/>
      <c r="K32" s="15"/>
      <c r="L32" s="19"/>
      <c r="M32" s="19"/>
      <c r="N32" s="20"/>
    </row>
    <row r="33" spans="1:14" s="2" customFormat="1" ht="17.25" customHeight="1" x14ac:dyDescent="0.3">
      <c r="A33" s="13"/>
      <c r="B33" s="18"/>
      <c r="C33" s="21"/>
      <c r="D33" s="21"/>
      <c r="E33" s="21"/>
      <c r="F33" s="21"/>
      <c r="G33" s="21"/>
      <c r="H33" s="21"/>
      <c r="I33" s="15"/>
      <c r="J33" s="15"/>
      <c r="K33" s="15"/>
      <c r="L33" s="19"/>
      <c r="M33" s="19"/>
      <c r="N33" s="20"/>
    </row>
    <row r="34" spans="1:14" s="2" customFormat="1" ht="18.75" x14ac:dyDescent="0.3">
      <c r="A34" s="13" t="s">
        <v>34</v>
      </c>
      <c r="B34" s="22">
        <f>B31/B32</f>
        <v>0.87784283029512755</v>
      </c>
      <c r="C34" s="5" t="s">
        <v>35</v>
      </c>
      <c r="D34" s="5"/>
      <c r="E34" s="5"/>
      <c r="F34" s="5"/>
      <c r="G34" s="5"/>
      <c r="I34" s="15"/>
      <c r="J34" s="15"/>
      <c r="K34" s="15"/>
      <c r="L34" s="19"/>
      <c r="M34" s="19"/>
      <c r="N34" s="20"/>
    </row>
    <row r="35" spans="1:14" s="2" customFormat="1" ht="19.5" customHeight="1" x14ac:dyDescent="0.3">
      <c r="A35" s="13"/>
      <c r="B35" s="12"/>
      <c r="G35" s="5"/>
      <c r="I35" s="15"/>
      <c r="J35" s="15"/>
      <c r="K35" s="15"/>
      <c r="L35" s="19"/>
      <c r="M35" s="19"/>
      <c r="N35" s="20"/>
    </row>
    <row r="36" spans="1:14" s="2" customFormat="1" ht="27" customHeight="1" x14ac:dyDescent="0.4">
      <c r="A36" s="23" t="s">
        <v>83</v>
      </c>
      <c r="B36" s="160">
        <v>10</v>
      </c>
      <c r="C36" s="5"/>
      <c r="D36" s="451" t="s">
        <v>36</v>
      </c>
      <c r="E36" s="452"/>
      <c r="F36" s="451" t="s">
        <v>37</v>
      </c>
      <c r="G36" s="453"/>
      <c r="J36" s="15"/>
      <c r="K36" s="15"/>
      <c r="L36" s="19"/>
      <c r="M36" s="19"/>
      <c r="N36" s="20"/>
    </row>
    <row r="37" spans="1:14" s="2" customFormat="1" ht="15.75" customHeight="1" x14ac:dyDescent="0.4">
      <c r="A37" s="24" t="s">
        <v>38</v>
      </c>
      <c r="B37" s="161">
        <v>3</v>
      </c>
      <c r="C37" s="26" t="s">
        <v>84</v>
      </c>
      <c r="D37" s="27" t="s">
        <v>40</v>
      </c>
      <c r="E37" s="86" t="s">
        <v>41</v>
      </c>
      <c r="F37" s="27" t="s">
        <v>40</v>
      </c>
      <c r="G37" s="28" t="s">
        <v>41</v>
      </c>
      <c r="J37" s="15"/>
      <c r="K37" s="15"/>
      <c r="L37" s="19"/>
      <c r="M37" s="19"/>
      <c r="N37" s="20"/>
    </row>
    <row r="38" spans="1:14" s="2" customFormat="1" ht="26.25" customHeight="1" x14ac:dyDescent="0.4">
      <c r="A38" s="24" t="s">
        <v>42</v>
      </c>
      <c r="B38" s="161">
        <v>50</v>
      </c>
      <c r="C38" s="29">
        <v>1</v>
      </c>
      <c r="D38" s="162">
        <v>106279436</v>
      </c>
      <c r="E38" s="101">
        <f>IF(ISBLANK(D38),"-",$D$48/$D$45*D38)</f>
        <v>119538769.75841378</v>
      </c>
      <c r="F38" s="162">
        <v>108949936</v>
      </c>
      <c r="G38" s="104">
        <f>IF(ISBLANK(F38),"-",$D$48/$F$45*F38)</f>
        <v>121677433.65767162</v>
      </c>
      <c r="J38" s="15"/>
      <c r="K38" s="15"/>
      <c r="L38" s="19"/>
      <c r="M38" s="19"/>
      <c r="N38" s="20"/>
    </row>
    <row r="39" spans="1:14" s="2" customFormat="1" ht="26.25" customHeight="1" x14ac:dyDescent="0.4">
      <c r="A39" s="24" t="s">
        <v>43</v>
      </c>
      <c r="B39" s="161">
        <v>1</v>
      </c>
      <c r="C39" s="25">
        <v>2</v>
      </c>
      <c r="D39" s="163">
        <v>108220850</v>
      </c>
      <c r="E39" s="102">
        <f>IF(ISBLANK(D39),"-",$D$48/$D$45*D39)</f>
        <v>121722392.9491857</v>
      </c>
      <c r="F39" s="163">
        <v>108334551</v>
      </c>
      <c r="G39" s="105">
        <f>IF(ISBLANK(F39),"-",$D$48/$F$45*F39)</f>
        <v>120990159.57325704</v>
      </c>
      <c r="J39" s="15"/>
      <c r="K39" s="15"/>
      <c r="L39" s="19"/>
      <c r="M39" s="19"/>
      <c r="N39" s="20"/>
    </row>
    <row r="40" spans="1:14" ht="26.25" customHeight="1" x14ac:dyDescent="0.4">
      <c r="A40" s="24" t="s">
        <v>44</v>
      </c>
      <c r="B40" s="161">
        <v>1</v>
      </c>
      <c r="C40" s="25">
        <v>3</v>
      </c>
      <c r="D40" s="163">
        <v>106374195</v>
      </c>
      <c r="E40" s="102">
        <f>IF(ISBLANK(D40),"-",$D$48/$D$45*D40)</f>
        <v>119645350.81218919</v>
      </c>
      <c r="F40" s="163">
        <v>104024604</v>
      </c>
      <c r="G40" s="105">
        <f>IF(ISBLANK(F40),"-",$D$48/$F$45*F40)</f>
        <v>116176725.90441504</v>
      </c>
      <c r="L40" s="19"/>
      <c r="M40" s="19"/>
      <c r="N40" s="31"/>
    </row>
    <row r="41" spans="1:14" ht="26.25" customHeight="1" x14ac:dyDescent="0.4">
      <c r="A41" s="24" t="s">
        <v>45</v>
      </c>
      <c r="B41" s="161">
        <v>1</v>
      </c>
      <c r="C41" s="32">
        <v>4</v>
      </c>
      <c r="D41" s="164"/>
      <c r="E41" s="103" t="str">
        <f>IF(ISBLANK(D41),"-",$D$48/$D$45*D41)</f>
        <v>-</v>
      </c>
      <c r="F41" s="164"/>
      <c r="G41" s="106" t="str">
        <f>IF(ISBLANK(F41),"-",$D$48/$F$45*F41)</f>
        <v>-</v>
      </c>
      <c r="L41" s="19"/>
      <c r="M41" s="19"/>
      <c r="N41" s="31"/>
    </row>
    <row r="42" spans="1:14" ht="27" customHeight="1" x14ac:dyDescent="0.4">
      <c r="A42" s="24" t="s">
        <v>46</v>
      </c>
      <c r="B42" s="161">
        <v>1</v>
      </c>
      <c r="C42" s="34" t="s">
        <v>47</v>
      </c>
      <c r="D42" s="135">
        <f>AVERAGE(D38:D41)</f>
        <v>106958160.33333333</v>
      </c>
      <c r="E42" s="59">
        <f>AVERAGE(E38:E41)</f>
        <v>120302171.17326288</v>
      </c>
      <c r="F42" s="35">
        <f>AVERAGE(F38:F41)</f>
        <v>107103030.33333333</v>
      </c>
      <c r="G42" s="36">
        <f>AVERAGE(G38:G41)</f>
        <v>119614773.04511456</v>
      </c>
      <c r="H42" s="121"/>
    </row>
    <row r="43" spans="1:14" ht="26.25" customHeight="1" x14ac:dyDescent="0.4">
      <c r="A43" s="24" t="s">
        <v>48</v>
      </c>
      <c r="B43" s="158">
        <v>1</v>
      </c>
      <c r="C43" s="136" t="s">
        <v>75</v>
      </c>
      <c r="D43" s="165">
        <v>29.54</v>
      </c>
      <c r="E43" s="31"/>
      <c r="F43" s="166">
        <v>29.75</v>
      </c>
      <c r="H43" s="121"/>
    </row>
    <row r="44" spans="1:14" ht="26.25" customHeight="1" x14ac:dyDescent="0.4">
      <c r="A44" s="24" t="s">
        <v>49</v>
      </c>
      <c r="B44" s="158">
        <v>1</v>
      </c>
      <c r="C44" s="137" t="s">
        <v>76</v>
      </c>
      <c r="D44" s="138">
        <f>D43*$B$34</f>
        <v>25.931477206918068</v>
      </c>
      <c r="E44" s="38"/>
      <c r="F44" s="37">
        <f>F43*$B$34</f>
        <v>26.115824201280045</v>
      </c>
      <c r="H44" s="121"/>
    </row>
    <row r="45" spans="1:14" ht="19.5" customHeight="1" x14ac:dyDescent="0.3">
      <c r="A45" s="24" t="s">
        <v>50</v>
      </c>
      <c r="B45" s="134">
        <f>(B44/B43)*(B42/B41)*(B40/B39)*(B38/B37)*B36</f>
        <v>166.66666666666669</v>
      </c>
      <c r="C45" s="137" t="s">
        <v>51</v>
      </c>
      <c r="D45" s="139">
        <f>D44*$B$30/100</f>
        <v>25.931477206918068</v>
      </c>
      <c r="E45" s="40"/>
      <c r="F45" s="39">
        <f>F44*$B$30/100</f>
        <v>26.115824201280041</v>
      </c>
      <c r="H45" s="121"/>
    </row>
    <row r="46" spans="1:14" ht="19.5" customHeight="1" x14ac:dyDescent="0.3">
      <c r="A46" s="454" t="s">
        <v>52</v>
      </c>
      <c r="B46" s="455"/>
      <c r="C46" s="137" t="s">
        <v>53</v>
      </c>
      <c r="D46" s="138">
        <f>D45/$B$45</f>
        <v>0.15558886324150839</v>
      </c>
      <c r="E46" s="40"/>
      <c r="F46" s="41">
        <f>F45/$B$45</f>
        <v>0.15669494520768024</v>
      </c>
      <c r="H46" s="121"/>
    </row>
    <row r="47" spans="1:14" ht="27" customHeight="1" x14ac:dyDescent="0.4">
      <c r="A47" s="456"/>
      <c r="B47" s="457"/>
      <c r="C47" s="137" t="s">
        <v>85</v>
      </c>
      <c r="D47" s="167">
        <v>0.17499999999999999</v>
      </c>
      <c r="F47" s="43"/>
      <c r="H47" s="121"/>
    </row>
    <row r="48" spans="1:14" ht="18.75" x14ac:dyDescent="0.3">
      <c r="C48" s="137" t="s">
        <v>54</v>
      </c>
      <c r="D48" s="138">
        <f>D47*$B$45</f>
        <v>29.166666666666668</v>
      </c>
      <c r="F48" s="43"/>
      <c r="H48" s="121"/>
    </row>
    <row r="49" spans="1:12" ht="19.5" customHeight="1" x14ac:dyDescent="0.3">
      <c r="C49" s="140" t="s">
        <v>55</v>
      </c>
      <c r="D49" s="141">
        <f>D48/B34</f>
        <v>33.225385752550878</v>
      </c>
      <c r="F49" s="46"/>
      <c r="H49" s="121"/>
    </row>
    <row r="50" spans="1:12" ht="18.75" x14ac:dyDescent="0.3">
      <c r="C50" s="142" t="s">
        <v>56</v>
      </c>
      <c r="D50" s="143">
        <f>AVERAGE(E38:E41,G38:G41)</f>
        <v>119958472.10918872</v>
      </c>
      <c r="F50" s="46"/>
      <c r="H50" s="121"/>
    </row>
    <row r="51" spans="1:12" ht="18.75" x14ac:dyDescent="0.3">
      <c r="C51" s="42" t="s">
        <v>57</v>
      </c>
      <c r="D51" s="47">
        <f>STDEV(E38:E41,G38:G41)/D50</f>
        <v>1.7369135872160792E-2</v>
      </c>
      <c r="F51" s="46"/>
    </row>
    <row r="52" spans="1:12" ht="19.5" customHeight="1" x14ac:dyDescent="0.3">
      <c r="C52" s="44" t="s">
        <v>3</v>
      </c>
      <c r="D52" s="48">
        <f>COUNT(E38:E41,G38:G41)</f>
        <v>6</v>
      </c>
      <c r="F52" s="46"/>
    </row>
    <row r="54" spans="1:12" ht="18.75" x14ac:dyDescent="0.3">
      <c r="A54" s="4" t="s">
        <v>0</v>
      </c>
      <c r="B54" s="49" t="s">
        <v>58</v>
      </c>
    </row>
    <row r="55" spans="1:12" ht="18.75" x14ac:dyDescent="0.3">
      <c r="A55" s="5" t="s">
        <v>59</v>
      </c>
      <c r="B55" s="8" t="str">
        <f>B21</f>
        <v xml:space="preserve">Each tablets contains 300mg Atazanavir </v>
      </c>
    </row>
    <row r="56" spans="1:12" ht="26.25" customHeight="1" x14ac:dyDescent="0.4">
      <c r="A56" s="7" t="s">
        <v>86</v>
      </c>
      <c r="B56" s="157">
        <v>300</v>
      </c>
      <c r="C56" s="5" t="str">
        <f>B20</f>
        <v>Atazanavir</v>
      </c>
      <c r="H56" s="14"/>
    </row>
    <row r="57" spans="1:12" ht="18.75" x14ac:dyDescent="0.3">
      <c r="A57" s="8" t="s">
        <v>87</v>
      </c>
      <c r="B57" s="156">
        <v>1980.7370000000001</v>
      </c>
      <c r="H57" s="14"/>
    </row>
    <row r="58" spans="1:12" ht="19.5" customHeight="1" x14ac:dyDescent="0.3">
      <c r="H58" s="14"/>
    </row>
    <row r="59" spans="1:12" s="2" customFormat="1" ht="27" customHeight="1" x14ac:dyDescent="0.4">
      <c r="A59" s="23" t="s">
        <v>88</v>
      </c>
      <c r="B59" s="160">
        <v>100</v>
      </c>
      <c r="C59" s="5"/>
      <c r="D59" s="51" t="s">
        <v>60</v>
      </c>
      <c r="E59" s="50" t="s">
        <v>39</v>
      </c>
      <c r="F59" s="50" t="s">
        <v>40</v>
      </c>
      <c r="G59" s="50" t="s">
        <v>61</v>
      </c>
      <c r="H59" s="26" t="s">
        <v>62</v>
      </c>
      <c r="L59" s="15"/>
    </row>
    <row r="60" spans="1:12" s="2" customFormat="1" ht="22.5" customHeight="1" x14ac:dyDescent="0.4">
      <c r="A60" s="24" t="s">
        <v>80</v>
      </c>
      <c r="B60" s="161">
        <v>3</v>
      </c>
      <c r="C60" s="458" t="s">
        <v>63</v>
      </c>
      <c r="D60" s="461">
        <v>1994.45</v>
      </c>
      <c r="E60" s="52">
        <v>1</v>
      </c>
      <c r="F60" s="168">
        <v>126537686</v>
      </c>
      <c r="G60" s="90">
        <f>IF(ISBLANK(F60),"-",(F60/$D$50*$D$47*$B$68)*($B$57/$D$60))</f>
        <v>305.54798356710063</v>
      </c>
      <c r="H60" s="92">
        <f t="shared" ref="H60:H71" si="0">IF(ISBLANK(F60),"-",G60/$B$56)</f>
        <v>1.018493278557002</v>
      </c>
      <c r="L60" s="15"/>
    </row>
    <row r="61" spans="1:12" s="2" customFormat="1" ht="26.25" customHeight="1" x14ac:dyDescent="0.4">
      <c r="A61" s="24" t="s">
        <v>64</v>
      </c>
      <c r="B61" s="161">
        <v>50</v>
      </c>
      <c r="C61" s="459"/>
      <c r="D61" s="462"/>
      <c r="E61" s="53">
        <v>2</v>
      </c>
      <c r="F61" s="163"/>
      <c r="G61" s="91" t="str">
        <f>IF(ISBLANK(F61),"-",(F61/$D$50*$D$47*$B$68)*($B$57/$D$60))</f>
        <v>-</v>
      </c>
      <c r="H61" s="93" t="str">
        <f t="shared" si="0"/>
        <v>-</v>
      </c>
      <c r="L61" s="15"/>
    </row>
    <row r="62" spans="1:12" s="2" customFormat="1" ht="26.25" customHeight="1" x14ac:dyDescent="0.4">
      <c r="A62" s="24" t="s">
        <v>65</v>
      </c>
      <c r="B62" s="161">
        <v>1</v>
      </c>
      <c r="C62" s="459"/>
      <c r="D62" s="462"/>
      <c r="E62" s="53">
        <v>3</v>
      </c>
      <c r="F62" s="163">
        <v>126150597</v>
      </c>
      <c r="G62" s="91">
        <f>IF(ISBLANK(F62),"-",(F62/$D$50*$D$47*$B$68)*($B$57/$D$60))</f>
        <v>304.61328761090152</v>
      </c>
      <c r="H62" s="93">
        <f t="shared" si="0"/>
        <v>1.0153776253696718</v>
      </c>
      <c r="L62" s="15"/>
    </row>
    <row r="63" spans="1:12" ht="21" customHeight="1" x14ac:dyDescent="0.4">
      <c r="A63" s="24" t="s">
        <v>66</v>
      </c>
      <c r="B63" s="161">
        <v>1</v>
      </c>
      <c r="C63" s="460"/>
      <c r="D63" s="463"/>
      <c r="E63" s="54">
        <v>4</v>
      </c>
      <c r="F63" s="169"/>
      <c r="G63" s="91" t="str">
        <f>IF(ISBLANK(F63),"-",(F63/$D$50*$D$47*$B$68)*($B$57/$D$60))</f>
        <v>-</v>
      </c>
      <c r="H63" s="93" t="str">
        <f t="shared" si="0"/>
        <v>-</v>
      </c>
    </row>
    <row r="64" spans="1:12" ht="26.25" customHeight="1" x14ac:dyDescent="0.4">
      <c r="A64" s="24" t="s">
        <v>67</v>
      </c>
      <c r="B64" s="161">
        <v>1</v>
      </c>
      <c r="C64" s="458" t="s">
        <v>68</v>
      </c>
      <c r="D64" s="461">
        <v>1991.51</v>
      </c>
      <c r="E64" s="52">
        <v>1</v>
      </c>
      <c r="F64" s="168">
        <v>124473836</v>
      </c>
      <c r="G64" s="117">
        <f>IF(ISBLANK(F64),"-",(F64/$D$50*$D$47*$B$68)*($B$57/$D$64))</f>
        <v>301.00816013710869</v>
      </c>
      <c r="H64" s="114">
        <f t="shared" si="0"/>
        <v>1.0033605337903624</v>
      </c>
    </row>
    <row r="65" spans="1:8" ht="26.25" customHeight="1" x14ac:dyDescent="0.4">
      <c r="A65" s="24" t="s">
        <v>69</v>
      </c>
      <c r="B65" s="161">
        <v>1</v>
      </c>
      <c r="C65" s="459"/>
      <c r="D65" s="462"/>
      <c r="E65" s="53">
        <v>2</v>
      </c>
      <c r="F65" s="163">
        <v>124861348</v>
      </c>
      <c r="G65" s="118">
        <f>IF(ISBLANK(F65),"-",(F65/$D$50*$D$47*$B$68)*($B$57/$D$64))</f>
        <v>301.94525887126395</v>
      </c>
      <c r="H65" s="115">
        <f t="shared" si="0"/>
        <v>1.0064841962375466</v>
      </c>
    </row>
    <row r="66" spans="1:8" ht="26.25" customHeight="1" x14ac:dyDescent="0.4">
      <c r="A66" s="24" t="s">
        <v>70</v>
      </c>
      <c r="B66" s="161">
        <v>1</v>
      </c>
      <c r="C66" s="459"/>
      <c r="D66" s="462"/>
      <c r="E66" s="53">
        <v>3</v>
      </c>
      <c r="F66" s="163">
        <v>125055989</v>
      </c>
      <c r="G66" s="118">
        <f>IF(ISBLANK(F66),"-",(F66/$D$50*$D$47*$B$68)*($B$57/$D$64))</f>
        <v>302.41594838465898</v>
      </c>
      <c r="H66" s="115">
        <f t="shared" si="0"/>
        <v>1.0080531612821966</v>
      </c>
    </row>
    <row r="67" spans="1:8" ht="21" customHeight="1" x14ac:dyDescent="0.4">
      <c r="A67" s="24" t="s">
        <v>71</v>
      </c>
      <c r="B67" s="161">
        <v>1</v>
      </c>
      <c r="C67" s="460"/>
      <c r="D67" s="463"/>
      <c r="E67" s="54">
        <v>4</v>
      </c>
      <c r="F67" s="169"/>
      <c r="G67" s="119" t="str">
        <f>IF(ISBLANK(F67),"-",(F67/$D$50*$D$47*$B$68)*($B$57/$D$64))</f>
        <v>-</v>
      </c>
      <c r="H67" s="116" t="str">
        <f t="shared" si="0"/>
        <v>-</v>
      </c>
    </row>
    <row r="68" spans="1:8" ht="21.75" customHeight="1" x14ac:dyDescent="0.4">
      <c r="A68" s="24" t="s">
        <v>72</v>
      </c>
      <c r="B68" s="126">
        <f>(B67/B66)*(B65/B64)*(B63/B62)*(B61/B60)*B59</f>
        <v>1666.6666666666667</v>
      </c>
      <c r="C68" s="458" t="s">
        <v>73</v>
      </c>
      <c r="D68" s="461">
        <v>1983.81</v>
      </c>
      <c r="E68" s="52">
        <v>1</v>
      </c>
      <c r="F68" s="168">
        <v>126950951</v>
      </c>
      <c r="G68" s="117">
        <f>IF(ISBLANK(F68),"-",(F68/$D$50*$D$47*$B$68)*($B$57/$D$68))</f>
        <v>308.19001955365837</v>
      </c>
      <c r="H68" s="93">
        <f t="shared" si="0"/>
        <v>1.0273000651788613</v>
      </c>
    </row>
    <row r="69" spans="1:8" ht="21.75" customHeight="1" x14ac:dyDescent="0.4">
      <c r="A69" s="144" t="s">
        <v>74</v>
      </c>
      <c r="B69" s="145">
        <f>D47*B68/B56*B57</f>
        <v>1925.7165277777781</v>
      </c>
      <c r="C69" s="459"/>
      <c r="D69" s="462"/>
      <c r="E69" s="53">
        <v>2</v>
      </c>
      <c r="F69" s="163">
        <v>122740368</v>
      </c>
      <c r="G69" s="118">
        <f>IF(ISBLANK(F69),"-",(F69/$D$50*$D$47*$B$68)*($B$57/$D$68))</f>
        <v>297.96827921315236</v>
      </c>
      <c r="H69" s="93">
        <f t="shared" si="0"/>
        <v>0.99322759737717448</v>
      </c>
    </row>
    <row r="70" spans="1:8" ht="22.5" customHeight="1" x14ac:dyDescent="0.4">
      <c r="A70" s="467" t="s">
        <v>52</v>
      </c>
      <c r="B70" s="468"/>
      <c r="C70" s="459"/>
      <c r="D70" s="462"/>
      <c r="E70" s="53">
        <v>3</v>
      </c>
      <c r="F70" s="163">
        <v>124244981</v>
      </c>
      <c r="G70" s="118">
        <f>IF(ISBLANK(F70),"-",(F70/$D$50*$D$47*$B$68)*($B$57/$D$68))</f>
        <v>301.62092384667454</v>
      </c>
      <c r="H70" s="93">
        <f t="shared" si="0"/>
        <v>1.0054030794889151</v>
      </c>
    </row>
    <row r="71" spans="1:8" ht="21.75" customHeight="1" x14ac:dyDescent="0.4">
      <c r="A71" s="469"/>
      <c r="B71" s="470"/>
      <c r="C71" s="466"/>
      <c r="D71" s="463"/>
      <c r="E71" s="54">
        <v>4</v>
      </c>
      <c r="F71" s="169"/>
      <c r="G71" s="119" t="str">
        <f>IF(ISBLANK(F71),"-",(F71/$D$50*$D$47*$B$68)*($B$57/$D$68))</f>
        <v>-</v>
      </c>
      <c r="H71" s="94" t="str">
        <f t="shared" si="0"/>
        <v>-</v>
      </c>
    </row>
    <row r="72" spans="1:8" ht="26.25" customHeight="1" x14ac:dyDescent="0.4">
      <c r="A72" s="55"/>
      <c r="B72" s="55"/>
      <c r="C72" s="55"/>
      <c r="D72" s="55"/>
      <c r="E72" s="55"/>
      <c r="F72" s="56"/>
      <c r="G72" s="45" t="s">
        <v>47</v>
      </c>
      <c r="H72" s="170">
        <f>AVERAGE(H60:H71)</f>
        <v>1.0097124421602162</v>
      </c>
    </row>
    <row r="73" spans="1:8" ht="26.25" customHeight="1" x14ac:dyDescent="0.4">
      <c r="C73" s="55"/>
      <c r="D73" s="55"/>
      <c r="E73" s="55"/>
      <c r="F73" s="56"/>
      <c r="G73" s="42" t="s">
        <v>57</v>
      </c>
      <c r="H73" s="171">
        <f>STDEV(H60:H71)/H72</f>
        <v>1.0335571453138409E-2</v>
      </c>
    </row>
    <row r="74" spans="1:8" ht="27" customHeight="1" x14ac:dyDescent="0.4">
      <c r="A74" s="55"/>
      <c r="B74" s="55"/>
      <c r="C74" s="56"/>
      <c r="D74" s="56"/>
      <c r="E74" s="57"/>
      <c r="F74" s="56"/>
      <c r="G74" s="44" t="s">
        <v>3</v>
      </c>
      <c r="H74" s="172">
        <f>COUNT(H60:H71)</f>
        <v>8</v>
      </c>
    </row>
    <row r="75" spans="1:8" ht="18.75" x14ac:dyDescent="0.3">
      <c r="A75" s="55"/>
      <c r="B75" s="55"/>
      <c r="C75" s="56"/>
      <c r="D75" s="56"/>
      <c r="E75" s="57"/>
      <c r="F75" s="56"/>
      <c r="G75" s="78"/>
      <c r="H75" s="133"/>
    </row>
    <row r="76" spans="1:8" ht="18.75" x14ac:dyDescent="0.3">
      <c r="A76" s="11" t="s">
        <v>89</v>
      </c>
      <c r="B76" s="151" t="s">
        <v>81</v>
      </c>
      <c r="C76" s="471" t="str">
        <f>B20</f>
        <v>Atazanavir</v>
      </c>
      <c r="D76" s="471"/>
      <c r="E76" s="153" t="s">
        <v>90</v>
      </c>
      <c r="F76" s="153"/>
      <c r="G76" s="154">
        <f>H72</f>
        <v>1.0097124421602162</v>
      </c>
      <c r="H76" s="133"/>
    </row>
    <row r="77" spans="1:8" ht="18.75" x14ac:dyDescent="0.3">
      <c r="A77" s="55"/>
      <c r="B77" s="55"/>
      <c r="C77" s="56"/>
      <c r="D77" s="56"/>
      <c r="E77" s="57"/>
      <c r="F77" s="56"/>
      <c r="G77" s="78"/>
      <c r="H77" s="133"/>
    </row>
    <row r="78" spans="1:8" ht="26.25" customHeight="1" x14ac:dyDescent="0.4">
      <c r="A78" s="10" t="s">
        <v>91</v>
      </c>
      <c r="B78" s="10" t="s">
        <v>92</v>
      </c>
      <c r="D78" s="173" t="s">
        <v>97</v>
      </c>
    </row>
    <row r="79" spans="1:8" ht="18.75" x14ac:dyDescent="0.3">
      <c r="A79" s="10"/>
      <c r="B79" s="10"/>
    </row>
    <row r="80" spans="1:8" ht="26.25" customHeight="1" x14ac:dyDescent="0.4">
      <c r="A80" s="11" t="s">
        <v>1</v>
      </c>
      <c r="B80" s="157" t="s">
        <v>94</v>
      </c>
      <c r="C80" s="181"/>
    </row>
    <row r="81" spans="1:12" ht="26.25" customHeight="1" x14ac:dyDescent="0.4">
      <c r="A81" s="13" t="s">
        <v>26</v>
      </c>
      <c r="B81" s="157" t="s">
        <v>95</v>
      </c>
    </row>
    <row r="82" spans="1:12" ht="27" customHeight="1" x14ac:dyDescent="0.4">
      <c r="A82" s="13" t="s">
        <v>2</v>
      </c>
      <c r="B82" s="157">
        <v>100</v>
      </c>
    </row>
    <row r="83" spans="1:12" s="2" customFormat="1" ht="27" customHeight="1" x14ac:dyDescent="0.4">
      <c r="A83" s="13" t="s">
        <v>27</v>
      </c>
      <c r="B83" s="157">
        <f>B29</f>
        <v>0</v>
      </c>
      <c r="C83" s="448" t="s">
        <v>28</v>
      </c>
      <c r="D83" s="449"/>
      <c r="E83" s="449"/>
      <c r="F83" s="449"/>
      <c r="G83" s="450"/>
      <c r="I83" s="15"/>
      <c r="J83" s="15"/>
      <c r="K83" s="15"/>
      <c r="L83" s="15"/>
    </row>
    <row r="84" spans="1:12" s="2" customFormat="1" ht="18.75" x14ac:dyDescent="0.3">
      <c r="A84" s="13" t="s">
        <v>29</v>
      </c>
      <c r="B84" s="12">
        <f>B82-B83</f>
        <v>100</v>
      </c>
      <c r="C84" s="16"/>
      <c r="D84" s="16"/>
      <c r="E84" s="16"/>
      <c r="F84" s="16"/>
      <c r="G84" s="17"/>
      <c r="I84" s="15"/>
      <c r="J84" s="15"/>
      <c r="K84" s="15"/>
      <c r="L84" s="15"/>
    </row>
    <row r="85" spans="1:12" s="2" customFormat="1" ht="19.5" customHeight="1" x14ac:dyDescent="0.3">
      <c r="A85" s="13"/>
      <c r="B85" s="12"/>
      <c r="C85" s="16"/>
      <c r="D85" s="16"/>
      <c r="E85" s="16"/>
      <c r="F85" s="16"/>
      <c r="G85" s="17"/>
      <c r="I85" s="15"/>
      <c r="J85" s="15"/>
      <c r="K85" s="15"/>
      <c r="L85" s="15"/>
    </row>
    <row r="86" spans="1:12" s="2" customFormat="1" ht="27" customHeight="1" x14ac:dyDescent="0.4">
      <c r="A86" s="13" t="s">
        <v>30</v>
      </c>
      <c r="B86" s="159">
        <v>704.9</v>
      </c>
      <c r="C86" s="439" t="s">
        <v>31</v>
      </c>
      <c r="D86" s="440"/>
      <c r="E86" s="440"/>
      <c r="F86" s="440"/>
      <c r="G86" s="440"/>
      <c r="H86" s="441"/>
      <c r="I86" s="15"/>
      <c r="J86" s="15"/>
      <c r="K86" s="15"/>
      <c r="L86" s="15"/>
    </row>
    <row r="87" spans="1:12" s="2" customFormat="1" ht="27" customHeight="1" x14ac:dyDescent="0.4">
      <c r="A87" s="13" t="s">
        <v>32</v>
      </c>
      <c r="B87" s="159">
        <v>802.9</v>
      </c>
      <c r="C87" s="439" t="s">
        <v>33</v>
      </c>
      <c r="D87" s="440"/>
      <c r="E87" s="440"/>
      <c r="F87" s="440"/>
      <c r="G87" s="440"/>
      <c r="H87" s="441"/>
      <c r="I87" s="15"/>
      <c r="J87" s="15"/>
      <c r="K87" s="15"/>
      <c r="L87" s="15"/>
    </row>
    <row r="88" spans="1:12" s="2" customFormat="1" ht="18.75" x14ac:dyDescent="0.3">
      <c r="A88" s="13"/>
      <c r="B88" s="12"/>
      <c r="C88" s="16"/>
      <c r="D88" s="16"/>
      <c r="E88" s="16"/>
      <c r="F88" s="16"/>
      <c r="G88" s="17"/>
      <c r="I88" s="15"/>
      <c r="J88" s="15"/>
      <c r="K88" s="15"/>
      <c r="L88" s="15"/>
    </row>
    <row r="89" spans="1:12" ht="18.75" x14ac:dyDescent="0.3">
      <c r="A89" s="13" t="s">
        <v>34</v>
      </c>
      <c r="B89" s="22">
        <f>B86/B87</f>
        <v>0.87794245858761988</v>
      </c>
      <c r="C89" s="5" t="s">
        <v>35</v>
      </c>
    </row>
    <row r="90" spans="1:12" ht="19.5" customHeight="1" x14ac:dyDescent="0.3">
      <c r="A90" s="13"/>
      <c r="B90" s="22"/>
    </row>
    <row r="91" spans="1:12" ht="27" customHeight="1" x14ac:dyDescent="0.4">
      <c r="A91" s="23" t="s">
        <v>83</v>
      </c>
      <c r="B91" s="160">
        <v>10</v>
      </c>
      <c r="D91" s="88" t="s">
        <v>36</v>
      </c>
      <c r="E91" s="89"/>
      <c r="F91" s="451" t="s">
        <v>37</v>
      </c>
      <c r="G91" s="453"/>
    </row>
    <row r="92" spans="1:12" ht="26.25" customHeight="1" x14ac:dyDescent="0.4">
      <c r="A92" s="24" t="s">
        <v>38</v>
      </c>
      <c r="B92" s="161">
        <v>5</v>
      </c>
      <c r="C92" s="85" t="s">
        <v>84</v>
      </c>
      <c r="D92" s="27" t="s">
        <v>40</v>
      </c>
      <c r="E92" s="86" t="s">
        <v>41</v>
      </c>
      <c r="F92" s="27" t="s">
        <v>40</v>
      </c>
      <c r="G92" s="28" t="s">
        <v>41</v>
      </c>
    </row>
    <row r="93" spans="1:12" ht="26.25" customHeight="1" x14ac:dyDescent="0.4">
      <c r="A93" s="24" t="s">
        <v>42</v>
      </c>
      <c r="B93" s="161">
        <v>50</v>
      </c>
      <c r="C93" s="83">
        <v>1</v>
      </c>
      <c r="D93" s="162">
        <v>314931407</v>
      </c>
      <c r="E93" s="101">
        <f>IF(ISBLANK(D93),"-",$D$103/$D$100*D93)</f>
        <v>364301269.4103362</v>
      </c>
      <c r="F93" s="162">
        <v>313015322</v>
      </c>
      <c r="G93" s="104">
        <f>IF(ISBLANK(F93),"-",$D$103/$F$100*F93)</f>
        <v>359528918.74592143</v>
      </c>
    </row>
    <row r="94" spans="1:12" ht="26.25" customHeight="1" x14ac:dyDescent="0.4">
      <c r="A94" s="24" t="s">
        <v>43</v>
      </c>
      <c r="B94" s="161">
        <v>1</v>
      </c>
      <c r="C94" s="56">
        <v>2</v>
      </c>
      <c r="D94" s="163">
        <v>314874733</v>
      </c>
      <c r="E94" s="102">
        <f>IF(ISBLANK(D94),"-",$D$103/$D$100*D94)</f>
        <v>364235710.97544008</v>
      </c>
      <c r="F94" s="163">
        <v>314151314</v>
      </c>
      <c r="G94" s="105">
        <f>IF(ISBLANK(F94),"-",$D$103/$F$100*F94)</f>
        <v>360833717.4147355</v>
      </c>
    </row>
    <row r="95" spans="1:12" ht="26.25" customHeight="1" x14ac:dyDescent="0.4">
      <c r="A95" s="24" t="s">
        <v>44</v>
      </c>
      <c r="B95" s="161">
        <v>1</v>
      </c>
      <c r="C95" s="56">
        <v>3</v>
      </c>
      <c r="D95" s="163">
        <v>314593741</v>
      </c>
      <c r="E95" s="102">
        <f>IF(ISBLANK(D95),"-",$D$103/$D$100*D95)</f>
        <v>363910669.58541399</v>
      </c>
      <c r="F95" s="163">
        <v>311889809</v>
      </c>
      <c r="G95" s="105">
        <f>IF(ISBLANK(F95),"-",$D$103/$F$100*F95)</f>
        <v>358236156.24043459</v>
      </c>
    </row>
    <row r="96" spans="1:12" ht="26.25" customHeight="1" x14ac:dyDescent="0.4">
      <c r="A96" s="24" t="s">
        <v>45</v>
      </c>
      <c r="B96" s="161">
        <v>1</v>
      </c>
      <c r="C96" s="87">
        <v>4</v>
      </c>
      <c r="D96" s="164"/>
      <c r="E96" s="103" t="str">
        <f>IF(ISBLANK(D96),"-",$D$103/$D$100*D96)</f>
        <v>-</v>
      </c>
      <c r="F96" s="174"/>
      <c r="G96" s="106" t="str">
        <f>IF(ISBLANK(F96),"-",$D$103/$F$100*F96)</f>
        <v>-</v>
      </c>
    </row>
    <row r="97" spans="1:10" ht="27" customHeight="1" x14ac:dyDescent="0.4">
      <c r="A97" s="24" t="s">
        <v>46</v>
      </c>
      <c r="B97" s="161">
        <v>1</v>
      </c>
      <c r="C97" s="78" t="s">
        <v>47</v>
      </c>
      <c r="D97" s="146">
        <f>AVERAGE(D93:D96)</f>
        <v>314799960.33333331</v>
      </c>
      <c r="E97" s="59">
        <f>AVERAGE(E93:E96)</f>
        <v>364149216.65706342</v>
      </c>
      <c r="F97" s="84">
        <f>AVERAGE(F93:F96)</f>
        <v>313018815</v>
      </c>
      <c r="G97" s="107">
        <f>AVERAGE(G93:G96)</f>
        <v>359532930.80036384</v>
      </c>
    </row>
    <row r="98" spans="1:10" ht="26.25" customHeight="1" x14ac:dyDescent="0.4">
      <c r="A98" s="24" t="s">
        <v>48</v>
      </c>
      <c r="B98" s="158">
        <v>1</v>
      </c>
      <c r="C98" s="136" t="s">
        <v>75</v>
      </c>
      <c r="D98" s="165">
        <f>D43</f>
        <v>29.54</v>
      </c>
      <c r="E98" s="31"/>
      <c r="F98" s="166">
        <f>F43</f>
        <v>29.75</v>
      </c>
    </row>
    <row r="99" spans="1:10" ht="26.25" customHeight="1" x14ac:dyDescent="0.4">
      <c r="A99" s="24" t="s">
        <v>49</v>
      </c>
      <c r="B99" s="158">
        <v>1</v>
      </c>
      <c r="C99" s="137" t="s">
        <v>76</v>
      </c>
      <c r="D99" s="138">
        <f>D98*$B$89</f>
        <v>25.934420226678291</v>
      </c>
      <c r="E99" s="38"/>
      <c r="F99" s="37">
        <f>F98*$B$89</f>
        <v>26.118788142981693</v>
      </c>
    </row>
    <row r="100" spans="1:10" ht="19.5" customHeight="1" x14ac:dyDescent="0.3">
      <c r="A100" s="24" t="s">
        <v>50</v>
      </c>
      <c r="B100" s="134">
        <f>(B99/B98)*(B97/B96)*(B95/B94)*(B93/B92)*B91</f>
        <v>100</v>
      </c>
      <c r="C100" s="137" t="s">
        <v>51</v>
      </c>
      <c r="D100" s="139">
        <f>D99*$B$84/100</f>
        <v>25.934420226678288</v>
      </c>
      <c r="E100" s="40"/>
      <c r="F100" s="39">
        <f>F99*$B$84/100</f>
        <v>26.118788142981693</v>
      </c>
    </row>
    <row r="101" spans="1:10" ht="19.5" customHeight="1" x14ac:dyDescent="0.3">
      <c r="A101" s="454" t="s">
        <v>52</v>
      </c>
      <c r="B101" s="455"/>
      <c r="C101" s="137" t="s">
        <v>53</v>
      </c>
      <c r="D101" s="138">
        <f>D100/$B$100</f>
        <v>0.2593442022667829</v>
      </c>
      <c r="E101" s="40"/>
      <c r="F101" s="41">
        <f>F100/$B$100</f>
        <v>0.26118788142981691</v>
      </c>
      <c r="G101" s="120"/>
      <c r="H101" s="121"/>
    </row>
    <row r="102" spans="1:10" ht="19.5" customHeight="1" x14ac:dyDescent="0.3">
      <c r="A102" s="456"/>
      <c r="B102" s="457"/>
      <c r="C102" s="137" t="s">
        <v>85</v>
      </c>
      <c r="D102" s="147">
        <f>$B$56/$B$118</f>
        <v>0.3</v>
      </c>
      <c r="F102" s="43"/>
      <c r="G102" s="122"/>
      <c r="H102" s="121"/>
    </row>
    <row r="103" spans="1:10" ht="18.75" x14ac:dyDescent="0.3">
      <c r="C103" s="137" t="s">
        <v>54</v>
      </c>
      <c r="D103" s="138">
        <f>D102*$B$100</f>
        <v>30</v>
      </c>
      <c r="F103" s="43"/>
      <c r="G103" s="120"/>
      <c r="H103" s="121"/>
    </row>
    <row r="104" spans="1:10" ht="19.5" customHeight="1" x14ac:dyDescent="0.3">
      <c r="C104" s="140" t="s">
        <v>55</v>
      </c>
      <c r="D104" s="148">
        <f>D103/B34</f>
        <v>34.174682488338043</v>
      </c>
      <c r="F104" s="46"/>
      <c r="G104" s="120"/>
      <c r="H104" s="121"/>
      <c r="J104" s="60"/>
    </row>
    <row r="105" spans="1:10" ht="18.75" x14ac:dyDescent="0.3">
      <c r="C105" s="142" t="s">
        <v>56</v>
      </c>
      <c r="D105" s="143">
        <f>AVERAGE(E93:E96,G93:G96)</f>
        <v>361841073.72871357</v>
      </c>
      <c r="F105" s="46"/>
      <c r="G105" s="123"/>
      <c r="H105" s="121"/>
      <c r="J105" s="62"/>
    </row>
    <row r="106" spans="1:10" ht="18.75" x14ac:dyDescent="0.3">
      <c r="C106" s="42" t="s">
        <v>57</v>
      </c>
      <c r="D106" s="61">
        <f>STDEV(E93:E96,G93:G96)/D105</f>
        <v>7.3563137871140256E-3</v>
      </c>
      <c r="F106" s="46"/>
      <c r="G106" s="120"/>
      <c r="H106" s="121"/>
      <c r="J106" s="62"/>
    </row>
    <row r="107" spans="1:10" ht="19.5" customHeight="1" x14ac:dyDescent="0.3">
      <c r="C107" s="44" t="s">
        <v>3</v>
      </c>
      <c r="D107" s="63">
        <f>COUNT(E93:E96,G93:G96)</f>
        <v>6</v>
      </c>
      <c r="F107" s="46"/>
      <c r="G107" s="120"/>
      <c r="H107" s="121"/>
      <c r="J107" s="62"/>
    </row>
    <row r="108" spans="1:10" ht="19.5" customHeight="1" x14ac:dyDescent="0.3">
      <c r="A108" s="4"/>
      <c r="B108" s="4"/>
      <c r="C108" s="4"/>
      <c r="D108" s="4"/>
      <c r="E108" s="4"/>
    </row>
    <row r="109" spans="1:10" ht="26.25" customHeight="1" x14ac:dyDescent="0.4">
      <c r="A109" s="23" t="s">
        <v>77</v>
      </c>
      <c r="B109" s="160">
        <v>1000</v>
      </c>
      <c r="C109" s="64" t="s">
        <v>93</v>
      </c>
      <c r="D109" s="65" t="s">
        <v>40</v>
      </c>
      <c r="E109" s="66" t="s">
        <v>78</v>
      </c>
      <c r="F109" s="67" t="s">
        <v>79</v>
      </c>
    </row>
    <row r="110" spans="1:10" ht="26.25" customHeight="1" x14ac:dyDescent="0.4">
      <c r="A110" s="24" t="s">
        <v>80</v>
      </c>
      <c r="B110" s="161">
        <v>1</v>
      </c>
      <c r="C110" s="30">
        <v>1</v>
      </c>
      <c r="D110" s="175">
        <v>194226747</v>
      </c>
      <c r="E110" s="68">
        <f t="shared" ref="E110:E115" si="1">IF(ISBLANK(D110),"-",D110/$D$105*$D$102*$B$118)</f>
        <v>161.03208930804195</v>
      </c>
      <c r="F110" s="69">
        <f t="shared" ref="F110:F115" si="2">IF(ISBLANK(D110), "-", E110/$B$56)</f>
        <v>0.53677363102680653</v>
      </c>
    </row>
    <row r="111" spans="1:10" ht="26.25" customHeight="1" x14ac:dyDescent="0.4">
      <c r="A111" s="24" t="s">
        <v>64</v>
      </c>
      <c r="B111" s="161">
        <v>1</v>
      </c>
      <c r="C111" s="30">
        <v>2</v>
      </c>
      <c r="D111" s="175">
        <v>192091615</v>
      </c>
      <c r="E111" s="70">
        <f t="shared" si="1"/>
        <v>159.26186573060409</v>
      </c>
      <c r="F111" s="95">
        <f t="shared" si="2"/>
        <v>0.5308728857686803</v>
      </c>
    </row>
    <row r="112" spans="1:10" ht="26.25" customHeight="1" x14ac:dyDescent="0.4">
      <c r="A112" s="24" t="s">
        <v>65</v>
      </c>
      <c r="B112" s="161">
        <v>1</v>
      </c>
      <c r="C112" s="30">
        <v>3</v>
      </c>
      <c r="D112" s="175">
        <v>193579959</v>
      </c>
      <c r="E112" s="70">
        <f t="shared" si="1"/>
        <v>160.49584172840574</v>
      </c>
      <c r="F112" s="95">
        <f t="shared" si="2"/>
        <v>0.53498613909468584</v>
      </c>
    </row>
    <row r="113" spans="1:10" ht="26.25" customHeight="1" x14ac:dyDescent="0.4">
      <c r="A113" s="24" t="s">
        <v>66</v>
      </c>
      <c r="B113" s="161">
        <v>1</v>
      </c>
      <c r="C113" s="30">
        <v>4</v>
      </c>
      <c r="D113" s="175">
        <v>195011986</v>
      </c>
      <c r="E113" s="70">
        <f t="shared" si="1"/>
        <v>161.68312568037103</v>
      </c>
      <c r="F113" s="95">
        <f t="shared" si="2"/>
        <v>0.53894375226790348</v>
      </c>
    </row>
    <row r="114" spans="1:10" ht="26.25" customHeight="1" x14ac:dyDescent="0.4">
      <c r="A114" s="24" t="s">
        <v>67</v>
      </c>
      <c r="B114" s="161">
        <v>1</v>
      </c>
      <c r="C114" s="30">
        <v>5</v>
      </c>
      <c r="D114" s="175">
        <v>193949218</v>
      </c>
      <c r="E114" s="70">
        <f t="shared" si="1"/>
        <v>160.8019918811743</v>
      </c>
      <c r="F114" s="95">
        <f t="shared" si="2"/>
        <v>0.53600663960391437</v>
      </c>
    </row>
    <row r="115" spans="1:10" ht="26.25" customHeight="1" x14ac:dyDescent="0.4">
      <c r="A115" s="24" t="s">
        <v>69</v>
      </c>
      <c r="B115" s="161">
        <v>1</v>
      </c>
      <c r="C115" s="33">
        <v>6</v>
      </c>
      <c r="D115" s="176">
        <v>193256019</v>
      </c>
      <c r="E115" s="71">
        <f t="shared" si="1"/>
        <v>160.2272652536607</v>
      </c>
      <c r="F115" s="96">
        <f t="shared" si="2"/>
        <v>0.53409088417886896</v>
      </c>
    </row>
    <row r="116" spans="1:10" ht="26.25" customHeight="1" x14ac:dyDescent="0.4">
      <c r="A116" s="24" t="s">
        <v>70</v>
      </c>
      <c r="B116" s="161">
        <v>1</v>
      </c>
      <c r="C116" s="30"/>
      <c r="D116" s="56"/>
      <c r="E116" s="58"/>
      <c r="F116" s="72"/>
    </row>
    <row r="117" spans="1:10" ht="26.25" customHeight="1" x14ac:dyDescent="0.4">
      <c r="A117" s="24" t="s">
        <v>71</v>
      </c>
      <c r="B117" s="161">
        <v>1</v>
      </c>
      <c r="C117" s="30"/>
      <c r="D117" s="73"/>
      <c r="E117" s="74" t="s">
        <v>47</v>
      </c>
      <c r="F117" s="75">
        <f>AVERAGE(F110:F115)</f>
        <v>0.53527898865680978</v>
      </c>
    </row>
    <row r="118" spans="1:10" ht="19.5" customHeight="1" x14ac:dyDescent="0.3">
      <c r="A118" s="24" t="s">
        <v>72</v>
      </c>
      <c r="B118" s="125">
        <f>(B117/B116)*(B115/B114)*(B113/B112)*(B111/B110)*B109</f>
        <v>1000</v>
      </c>
      <c r="C118" s="76"/>
      <c r="D118" s="77"/>
      <c r="E118" s="78" t="s">
        <v>57</v>
      </c>
      <c r="F118" s="79">
        <f>STDEV(F110:F115)/F117</f>
        <v>5.0892189478178888E-3</v>
      </c>
      <c r="I118" s="58"/>
    </row>
    <row r="119" spans="1:10" ht="19.5" customHeight="1" x14ac:dyDescent="0.3">
      <c r="A119" s="454" t="s">
        <v>52</v>
      </c>
      <c r="B119" s="464"/>
      <c r="C119" s="80"/>
      <c r="D119" s="81"/>
      <c r="E119" s="82" t="s">
        <v>3</v>
      </c>
      <c r="F119" s="63">
        <f>COUNT(F110:F115)</f>
        <v>6</v>
      </c>
      <c r="I119" s="58"/>
      <c r="J119" s="62"/>
    </row>
    <row r="120" spans="1:10" ht="19.5" customHeight="1" x14ac:dyDescent="0.3">
      <c r="A120" s="456"/>
      <c r="B120" s="465"/>
      <c r="C120" s="58"/>
      <c r="D120" s="58"/>
      <c r="E120" s="58"/>
      <c r="F120" s="56"/>
      <c r="G120" s="58"/>
      <c r="H120" s="58"/>
      <c r="I120" s="58"/>
    </row>
    <row r="121" spans="1:10" ht="18.75" x14ac:dyDescent="0.3">
      <c r="A121" s="21"/>
      <c r="B121" s="21"/>
      <c r="C121" s="58"/>
      <c r="D121" s="58"/>
      <c r="E121" s="58"/>
      <c r="F121" s="56"/>
      <c r="G121" s="58"/>
      <c r="H121" s="58"/>
      <c r="I121" s="58"/>
    </row>
    <row r="122" spans="1:10" ht="18.75" x14ac:dyDescent="0.3">
      <c r="A122" s="11" t="s">
        <v>89</v>
      </c>
      <c r="B122" s="151" t="s">
        <v>81</v>
      </c>
      <c r="C122" s="471" t="str">
        <f>B20</f>
        <v>Atazanavir</v>
      </c>
      <c r="D122" s="471"/>
      <c r="E122" s="153" t="s">
        <v>82</v>
      </c>
      <c r="F122" s="153"/>
      <c r="G122" s="154">
        <f>F117</f>
        <v>0.53527898865680978</v>
      </c>
      <c r="H122" s="58"/>
      <c r="I122" s="58"/>
    </row>
    <row r="123" spans="1:10" ht="18.75" x14ac:dyDescent="0.3">
      <c r="A123" s="21"/>
      <c r="B123" s="21"/>
      <c r="C123" s="58"/>
      <c r="D123" s="58"/>
      <c r="E123" s="58"/>
      <c r="F123" s="56"/>
      <c r="G123" s="58"/>
      <c r="H123" s="58"/>
      <c r="I123" s="58"/>
    </row>
    <row r="124" spans="1:10" ht="26.25" customHeight="1" x14ac:dyDescent="0.4">
      <c r="A124" s="10" t="s">
        <v>91</v>
      </c>
      <c r="B124" s="10" t="s">
        <v>92</v>
      </c>
      <c r="D124" s="173" t="s">
        <v>98</v>
      </c>
    </row>
    <row r="125" spans="1:10" ht="19.5" customHeight="1" x14ac:dyDescent="0.3">
      <c r="A125" s="4"/>
      <c r="B125" s="4"/>
      <c r="C125" s="4"/>
      <c r="D125" s="4"/>
      <c r="E125" s="4"/>
    </row>
    <row r="126" spans="1:10" ht="26.25" customHeight="1" x14ac:dyDescent="0.4">
      <c r="A126" s="23" t="s">
        <v>77</v>
      </c>
      <c r="B126" s="160">
        <v>1000</v>
      </c>
      <c r="C126" s="64" t="s">
        <v>93</v>
      </c>
      <c r="D126" s="65" t="s">
        <v>40</v>
      </c>
      <c r="E126" s="66" t="s">
        <v>78</v>
      </c>
      <c r="F126" s="67" t="s">
        <v>79</v>
      </c>
    </row>
    <row r="127" spans="1:10" ht="26.25" customHeight="1" x14ac:dyDescent="0.4">
      <c r="A127" s="24" t="s">
        <v>80</v>
      </c>
      <c r="B127" s="161">
        <v>1</v>
      </c>
      <c r="C127" s="30">
        <v>1</v>
      </c>
      <c r="D127" s="175">
        <v>377615051</v>
      </c>
      <c r="E127" s="130">
        <f t="shared" ref="E127:E132" si="3">IF(ISBLANK(D127),"-",D127/$D$105*$D$102*$B$135)</f>
        <v>313.07809843869143</v>
      </c>
      <c r="F127" s="127">
        <f t="shared" ref="F127:F132" si="4">IF(ISBLANK(D127), "-", E127/$B$56)</f>
        <v>1.0435936614623047</v>
      </c>
    </row>
    <row r="128" spans="1:10" ht="26.25" customHeight="1" x14ac:dyDescent="0.4">
      <c r="A128" s="24" t="s">
        <v>64</v>
      </c>
      <c r="B128" s="161">
        <v>1</v>
      </c>
      <c r="C128" s="30">
        <v>2</v>
      </c>
      <c r="D128" s="175">
        <v>374680025</v>
      </c>
      <c r="E128" s="131">
        <f t="shared" si="3"/>
        <v>310.64468812701369</v>
      </c>
      <c r="F128" s="128">
        <f t="shared" si="4"/>
        <v>1.0354822937567123</v>
      </c>
    </row>
    <row r="129" spans="1:10" ht="26.25" customHeight="1" x14ac:dyDescent="0.4">
      <c r="A129" s="24" t="s">
        <v>65</v>
      </c>
      <c r="B129" s="161">
        <v>1</v>
      </c>
      <c r="C129" s="30">
        <v>3</v>
      </c>
      <c r="D129" s="175">
        <v>376416027</v>
      </c>
      <c r="E129" s="131">
        <f t="shared" si="3"/>
        <v>312.0839957065354</v>
      </c>
      <c r="F129" s="128">
        <f t="shared" si="4"/>
        <v>1.0402799856884513</v>
      </c>
    </row>
    <row r="130" spans="1:10" ht="26.25" customHeight="1" x14ac:dyDescent="0.4">
      <c r="A130" s="24" t="s">
        <v>66</v>
      </c>
      <c r="B130" s="161">
        <v>1</v>
      </c>
      <c r="C130" s="30">
        <v>4</v>
      </c>
      <c r="D130" s="175">
        <v>376699588</v>
      </c>
      <c r="E130" s="131">
        <f t="shared" si="3"/>
        <v>312.31909422402367</v>
      </c>
      <c r="F130" s="128">
        <f t="shared" si="4"/>
        <v>1.0410636474134123</v>
      </c>
    </row>
    <row r="131" spans="1:10" ht="26.25" customHeight="1" x14ac:dyDescent="0.4">
      <c r="A131" s="24" t="s">
        <v>67</v>
      </c>
      <c r="B131" s="161">
        <v>1</v>
      </c>
      <c r="C131" s="30">
        <v>5</v>
      </c>
      <c r="D131" s="175">
        <v>376019854</v>
      </c>
      <c r="E131" s="131">
        <f t="shared" si="3"/>
        <v>311.75553133742648</v>
      </c>
      <c r="F131" s="128">
        <f t="shared" si="4"/>
        <v>1.0391851044580882</v>
      </c>
    </row>
    <row r="132" spans="1:10" ht="26.25" customHeight="1" x14ac:dyDescent="0.4">
      <c r="A132" s="24" t="s">
        <v>69</v>
      </c>
      <c r="B132" s="161">
        <v>1</v>
      </c>
      <c r="C132" s="33">
        <v>6</v>
      </c>
      <c r="D132" s="176">
        <v>375789157</v>
      </c>
      <c r="E132" s="132">
        <f t="shared" si="3"/>
        <v>311.56426200670393</v>
      </c>
      <c r="F132" s="129">
        <f t="shared" si="4"/>
        <v>1.0385475400223465</v>
      </c>
    </row>
    <row r="133" spans="1:10" ht="26.25" customHeight="1" x14ac:dyDescent="0.4">
      <c r="A133" s="24" t="s">
        <v>70</v>
      </c>
      <c r="B133" s="161">
        <v>1</v>
      </c>
      <c r="C133" s="30"/>
      <c r="D133" s="56"/>
      <c r="E133" s="58"/>
      <c r="F133" s="72"/>
    </row>
    <row r="134" spans="1:10" ht="26.25" customHeight="1" x14ac:dyDescent="0.4">
      <c r="A134" s="24" t="s">
        <v>71</v>
      </c>
      <c r="B134" s="161">
        <v>1</v>
      </c>
      <c r="C134" s="30"/>
      <c r="D134" s="73"/>
      <c r="E134" s="74" t="s">
        <v>47</v>
      </c>
      <c r="F134" s="177">
        <f>AVERAGE(F127:F132)</f>
        <v>1.0396920388002193</v>
      </c>
    </row>
    <row r="135" spans="1:10" ht="27" customHeight="1" x14ac:dyDescent="0.4">
      <c r="A135" s="24" t="s">
        <v>72</v>
      </c>
      <c r="B135" s="161">
        <f>(B134/B133)*(B132/B131)*(B130/B129)*(B128/B127)*B126</f>
        <v>1000</v>
      </c>
      <c r="C135" s="76"/>
      <c r="D135" s="77"/>
      <c r="E135" s="78" t="s">
        <v>57</v>
      </c>
      <c r="F135" s="178">
        <f>STDEV(F127:F132)/F134</f>
        <v>2.6071785764876605E-3</v>
      </c>
      <c r="I135" s="58"/>
    </row>
    <row r="136" spans="1:10" ht="27" customHeight="1" x14ac:dyDescent="0.4">
      <c r="A136" s="454" t="s">
        <v>52</v>
      </c>
      <c r="B136" s="464"/>
      <c r="C136" s="80"/>
      <c r="D136" s="81"/>
      <c r="E136" s="82" t="s">
        <v>3</v>
      </c>
      <c r="F136" s="179">
        <f>COUNT(F127:F132)</f>
        <v>6</v>
      </c>
      <c r="I136" s="58"/>
      <c r="J136" s="62"/>
    </row>
    <row r="137" spans="1:10" ht="19.5" customHeight="1" x14ac:dyDescent="0.3">
      <c r="A137" s="456"/>
      <c r="B137" s="465"/>
      <c r="C137" s="58"/>
      <c r="D137" s="58"/>
      <c r="E137" s="58"/>
      <c r="F137" s="56"/>
      <c r="G137" s="58"/>
      <c r="H137" s="58"/>
      <c r="I137" s="58"/>
    </row>
    <row r="138" spans="1:10" ht="18.75" x14ac:dyDescent="0.3">
      <c r="A138" s="21"/>
      <c r="B138" s="21"/>
      <c r="C138" s="58"/>
      <c r="D138" s="58"/>
      <c r="E138" s="58"/>
      <c r="F138" s="56"/>
      <c r="G138" s="58"/>
      <c r="H138" s="58"/>
      <c r="I138" s="58"/>
    </row>
    <row r="139" spans="1:10" ht="26.25" customHeight="1" x14ac:dyDescent="0.4">
      <c r="A139" s="11" t="s">
        <v>89</v>
      </c>
      <c r="B139" s="151" t="s">
        <v>81</v>
      </c>
      <c r="C139" s="471" t="str">
        <f>B20</f>
        <v>Atazanavir</v>
      </c>
      <c r="D139" s="471"/>
      <c r="E139" s="153" t="s">
        <v>82</v>
      </c>
      <c r="F139" s="153"/>
      <c r="G139" s="180">
        <f>F134</f>
        <v>1.0396920388002193</v>
      </c>
      <c r="H139" s="58"/>
      <c r="I139" s="58"/>
    </row>
    <row r="140" spans="1:10" ht="18.75" x14ac:dyDescent="0.3">
      <c r="A140" s="11"/>
      <c r="B140" s="151"/>
      <c r="C140" s="152"/>
      <c r="D140" s="152"/>
      <c r="E140" s="153"/>
      <c r="F140" s="153"/>
      <c r="G140" s="154"/>
      <c r="H140" s="58"/>
      <c r="I140" s="58"/>
    </row>
    <row r="141" spans="1:10" ht="26.25" customHeight="1" x14ac:dyDescent="0.4">
      <c r="A141" s="10" t="s">
        <v>91</v>
      </c>
      <c r="B141" s="10" t="s">
        <v>92</v>
      </c>
      <c r="D141" s="173"/>
      <c r="H141" s="58"/>
      <c r="I141" s="58"/>
    </row>
    <row r="142" spans="1:10" ht="19.5" customHeight="1" x14ac:dyDescent="0.3">
      <c r="A142" s="4"/>
      <c r="B142" s="4"/>
      <c r="C142" s="4"/>
      <c r="D142" s="4"/>
      <c r="E142" s="4"/>
      <c r="H142" s="58"/>
      <c r="I142" s="58"/>
    </row>
    <row r="143" spans="1:10" ht="26.25" customHeight="1" x14ac:dyDescent="0.4">
      <c r="A143" s="23" t="s">
        <v>77</v>
      </c>
      <c r="B143" s="160"/>
      <c r="C143" s="64" t="s">
        <v>93</v>
      </c>
      <c r="D143" s="65" t="s">
        <v>40</v>
      </c>
      <c r="E143" s="66" t="s">
        <v>78</v>
      </c>
      <c r="F143" s="67" t="s">
        <v>79</v>
      </c>
      <c r="H143" s="58"/>
      <c r="I143" s="58"/>
    </row>
    <row r="144" spans="1:10" ht="26.25" customHeight="1" x14ac:dyDescent="0.4">
      <c r="A144" s="24" t="s">
        <v>80</v>
      </c>
      <c r="B144" s="161"/>
      <c r="C144" s="30">
        <v>1</v>
      </c>
      <c r="D144" s="175"/>
      <c r="E144" s="130" t="str">
        <f t="shared" ref="E144:E149" si="5">IF(ISBLANK(D144),"-",D144/$D$105*$D$102*$B$152)</f>
        <v>-</v>
      </c>
      <c r="F144" s="127" t="str">
        <f t="shared" ref="F144:F149" si="6">IF(ISBLANK(D144), "-", E144/$B$56)</f>
        <v>-</v>
      </c>
      <c r="H144" s="58"/>
      <c r="I144" s="58"/>
    </row>
    <row r="145" spans="1:9" ht="26.25" customHeight="1" x14ac:dyDescent="0.4">
      <c r="A145" s="24" t="s">
        <v>64</v>
      </c>
      <c r="B145" s="161"/>
      <c r="C145" s="30">
        <v>2</v>
      </c>
      <c r="D145" s="175"/>
      <c r="E145" s="131" t="str">
        <f t="shared" si="5"/>
        <v>-</v>
      </c>
      <c r="F145" s="128" t="str">
        <f t="shared" si="6"/>
        <v>-</v>
      </c>
      <c r="H145" s="58"/>
      <c r="I145" s="58"/>
    </row>
    <row r="146" spans="1:9" ht="26.25" customHeight="1" x14ac:dyDescent="0.4">
      <c r="A146" s="24" t="s">
        <v>65</v>
      </c>
      <c r="B146" s="161"/>
      <c r="C146" s="30">
        <v>3</v>
      </c>
      <c r="D146" s="175"/>
      <c r="E146" s="131" t="str">
        <f t="shared" si="5"/>
        <v>-</v>
      </c>
      <c r="F146" s="128" t="str">
        <f t="shared" si="6"/>
        <v>-</v>
      </c>
      <c r="H146" s="58"/>
      <c r="I146" s="58"/>
    </row>
    <row r="147" spans="1:9" ht="26.25" customHeight="1" x14ac:dyDescent="0.4">
      <c r="A147" s="24" t="s">
        <v>66</v>
      </c>
      <c r="B147" s="161"/>
      <c r="C147" s="30">
        <v>4</v>
      </c>
      <c r="D147" s="175"/>
      <c r="E147" s="131" t="str">
        <f t="shared" si="5"/>
        <v>-</v>
      </c>
      <c r="F147" s="128" t="str">
        <f t="shared" si="6"/>
        <v>-</v>
      </c>
      <c r="H147" s="58"/>
      <c r="I147" s="58"/>
    </row>
    <row r="148" spans="1:9" ht="26.25" customHeight="1" x14ac:dyDescent="0.4">
      <c r="A148" s="24" t="s">
        <v>67</v>
      </c>
      <c r="B148" s="161"/>
      <c r="C148" s="30">
        <v>5</v>
      </c>
      <c r="D148" s="175"/>
      <c r="E148" s="131" t="str">
        <f t="shared" si="5"/>
        <v>-</v>
      </c>
      <c r="F148" s="128" t="str">
        <f t="shared" si="6"/>
        <v>-</v>
      </c>
      <c r="H148" s="58"/>
      <c r="I148" s="58"/>
    </row>
    <row r="149" spans="1:9" ht="26.25" customHeight="1" x14ac:dyDescent="0.4">
      <c r="A149" s="24" t="s">
        <v>69</v>
      </c>
      <c r="B149" s="161"/>
      <c r="C149" s="33">
        <v>6</v>
      </c>
      <c r="D149" s="176"/>
      <c r="E149" s="132" t="str">
        <f t="shared" si="5"/>
        <v>-</v>
      </c>
      <c r="F149" s="129" t="str">
        <f t="shared" si="6"/>
        <v>-</v>
      </c>
      <c r="H149" s="58"/>
      <c r="I149" s="58"/>
    </row>
    <row r="150" spans="1:9" ht="26.25" customHeight="1" x14ac:dyDescent="0.4">
      <c r="A150" s="24" t="s">
        <v>70</v>
      </c>
      <c r="B150" s="161"/>
      <c r="C150" s="30"/>
      <c r="D150" s="56"/>
      <c r="E150" s="58"/>
      <c r="F150" s="72"/>
      <c r="H150" s="58"/>
      <c r="I150" s="58"/>
    </row>
    <row r="151" spans="1:9" ht="26.25" customHeight="1" x14ac:dyDescent="0.4">
      <c r="A151" s="24" t="s">
        <v>71</v>
      </c>
      <c r="B151" s="161"/>
      <c r="C151" s="30"/>
      <c r="D151" s="73"/>
      <c r="E151" s="74" t="s">
        <v>47</v>
      </c>
      <c r="F151" s="177" t="e">
        <f>AVERAGE(F144:F149)</f>
        <v>#DIV/0!</v>
      </c>
      <c r="H151" s="58"/>
      <c r="I151" s="58"/>
    </row>
    <row r="152" spans="1:9" ht="27" customHeight="1" x14ac:dyDescent="0.4">
      <c r="A152" s="24" t="s">
        <v>72</v>
      </c>
      <c r="B152" s="161"/>
      <c r="C152" s="76"/>
      <c r="D152" s="77"/>
      <c r="E152" s="78" t="s">
        <v>57</v>
      </c>
      <c r="F152" s="178" t="e">
        <f>STDEV(F144:F149)/F151</f>
        <v>#DIV/0!</v>
      </c>
      <c r="H152" s="58"/>
      <c r="I152" s="58"/>
    </row>
    <row r="153" spans="1:9" ht="27" customHeight="1" x14ac:dyDescent="0.4">
      <c r="A153" s="454" t="s">
        <v>52</v>
      </c>
      <c r="B153" s="464"/>
      <c r="C153" s="80"/>
      <c r="D153" s="81"/>
      <c r="E153" s="82" t="s">
        <v>3</v>
      </c>
      <c r="F153" s="179">
        <f>COUNT(F144:F149)</f>
        <v>0</v>
      </c>
      <c r="H153" s="58"/>
      <c r="I153" s="58"/>
    </row>
    <row r="154" spans="1:9" ht="19.5" customHeight="1" x14ac:dyDescent="0.3">
      <c r="A154" s="456"/>
      <c r="B154" s="465"/>
      <c r="C154" s="58"/>
      <c r="D154" s="58"/>
      <c r="E154" s="58"/>
      <c r="F154" s="56"/>
      <c r="G154" s="58"/>
      <c r="H154" s="58"/>
      <c r="I154" s="58"/>
    </row>
    <row r="155" spans="1:9" ht="18.75" x14ac:dyDescent="0.3">
      <c r="A155" s="21"/>
      <c r="B155" s="21"/>
      <c r="C155" s="58"/>
      <c r="D155" s="58"/>
      <c r="E155" s="58"/>
      <c r="F155" s="56"/>
      <c r="G155" s="58"/>
      <c r="H155" s="58"/>
      <c r="I155" s="58"/>
    </row>
    <row r="156" spans="1:9" ht="26.25" customHeight="1" x14ac:dyDescent="0.4">
      <c r="A156" s="11" t="s">
        <v>89</v>
      </c>
      <c r="B156" s="151" t="s">
        <v>81</v>
      </c>
      <c r="C156" s="471" t="str">
        <f>B20</f>
        <v>Atazanavir</v>
      </c>
      <c r="D156" s="471"/>
      <c r="E156" s="153" t="s">
        <v>82</v>
      </c>
      <c r="F156" s="153"/>
      <c r="G156" s="180" t="e">
        <f>F151</f>
        <v>#DIV/0!</v>
      </c>
      <c r="H156" s="58"/>
      <c r="I156" s="58"/>
    </row>
    <row r="157" spans="1:9" ht="18.75" x14ac:dyDescent="0.3">
      <c r="A157" s="11"/>
      <c r="B157" s="151"/>
      <c r="C157" s="155"/>
      <c r="D157" s="155"/>
      <c r="E157" s="153"/>
      <c r="F157" s="153"/>
      <c r="G157" s="154"/>
      <c r="H157" s="58"/>
      <c r="I157" s="58"/>
    </row>
    <row r="158" spans="1:9" ht="26.25" customHeight="1" x14ac:dyDescent="0.4">
      <c r="A158" s="10" t="s">
        <v>91</v>
      </c>
      <c r="B158" s="10" t="s">
        <v>92</v>
      </c>
      <c r="D158" s="173"/>
      <c r="H158" s="58"/>
      <c r="I158" s="58"/>
    </row>
    <row r="159" spans="1:9" ht="19.5" customHeight="1" x14ac:dyDescent="0.3">
      <c r="A159" s="4"/>
      <c r="B159" s="4"/>
      <c r="C159" s="4"/>
      <c r="D159" s="4"/>
      <c r="E159" s="4"/>
      <c r="H159" s="58"/>
      <c r="I159" s="58"/>
    </row>
    <row r="160" spans="1:9" ht="26.25" customHeight="1" x14ac:dyDescent="0.4">
      <c r="A160" s="23" t="s">
        <v>77</v>
      </c>
      <c r="B160" s="160"/>
      <c r="C160" s="64" t="s">
        <v>93</v>
      </c>
      <c r="D160" s="65" t="s">
        <v>40</v>
      </c>
      <c r="E160" s="66" t="s">
        <v>78</v>
      </c>
      <c r="F160" s="67" t="s">
        <v>79</v>
      </c>
      <c r="H160" s="58"/>
      <c r="I160" s="58"/>
    </row>
    <row r="161" spans="1:9" ht="26.25" customHeight="1" x14ac:dyDescent="0.4">
      <c r="A161" s="24" t="s">
        <v>80</v>
      </c>
      <c r="B161" s="161"/>
      <c r="C161" s="30">
        <v>1</v>
      </c>
      <c r="D161" s="175"/>
      <c r="E161" s="130" t="str">
        <f t="shared" ref="E161:E166" si="7">IF(ISBLANK(D161),"-",D161/$D$105*$D$102*$B$169)</f>
        <v>-</v>
      </c>
      <c r="F161" s="127" t="str">
        <f t="shared" ref="F161:F166" si="8">IF(ISBLANK(D161), "-", E161/$B$56)</f>
        <v>-</v>
      </c>
      <c r="H161" s="58"/>
      <c r="I161" s="58"/>
    </row>
    <row r="162" spans="1:9" ht="26.25" customHeight="1" x14ac:dyDescent="0.4">
      <c r="A162" s="24" t="s">
        <v>64</v>
      </c>
      <c r="B162" s="161"/>
      <c r="C162" s="30">
        <v>2</v>
      </c>
      <c r="D162" s="175"/>
      <c r="E162" s="131" t="str">
        <f t="shared" si="7"/>
        <v>-</v>
      </c>
      <c r="F162" s="128" t="str">
        <f t="shared" si="8"/>
        <v>-</v>
      </c>
      <c r="H162" s="58"/>
      <c r="I162" s="58"/>
    </row>
    <row r="163" spans="1:9" ht="26.25" customHeight="1" x14ac:dyDescent="0.4">
      <c r="A163" s="24" t="s">
        <v>65</v>
      </c>
      <c r="B163" s="161"/>
      <c r="C163" s="30">
        <v>3</v>
      </c>
      <c r="D163" s="175"/>
      <c r="E163" s="131" t="str">
        <f t="shared" si="7"/>
        <v>-</v>
      </c>
      <c r="F163" s="128" t="str">
        <f t="shared" si="8"/>
        <v>-</v>
      </c>
      <c r="H163" s="58"/>
      <c r="I163" s="58"/>
    </row>
    <row r="164" spans="1:9" ht="26.25" customHeight="1" x14ac:dyDescent="0.4">
      <c r="A164" s="24" t="s">
        <v>66</v>
      </c>
      <c r="B164" s="161"/>
      <c r="C164" s="30">
        <v>4</v>
      </c>
      <c r="D164" s="175"/>
      <c r="E164" s="131" t="str">
        <f t="shared" si="7"/>
        <v>-</v>
      </c>
      <c r="F164" s="128" t="str">
        <f t="shared" si="8"/>
        <v>-</v>
      </c>
      <c r="H164" s="58"/>
      <c r="I164" s="58"/>
    </row>
    <row r="165" spans="1:9" ht="26.25" customHeight="1" x14ac:dyDescent="0.4">
      <c r="A165" s="24" t="s">
        <v>67</v>
      </c>
      <c r="B165" s="161"/>
      <c r="C165" s="30">
        <v>5</v>
      </c>
      <c r="D165" s="175"/>
      <c r="E165" s="131" t="str">
        <f t="shared" si="7"/>
        <v>-</v>
      </c>
      <c r="F165" s="128" t="str">
        <f t="shared" si="8"/>
        <v>-</v>
      </c>
      <c r="H165" s="58"/>
      <c r="I165" s="58"/>
    </row>
    <row r="166" spans="1:9" ht="26.25" customHeight="1" x14ac:dyDescent="0.4">
      <c r="A166" s="24" t="s">
        <v>69</v>
      </c>
      <c r="B166" s="161"/>
      <c r="C166" s="33">
        <v>6</v>
      </c>
      <c r="D166" s="176"/>
      <c r="E166" s="132" t="str">
        <f t="shared" si="7"/>
        <v>-</v>
      </c>
      <c r="F166" s="129" t="str">
        <f t="shared" si="8"/>
        <v>-</v>
      </c>
      <c r="H166" s="58"/>
      <c r="I166" s="58"/>
    </row>
    <row r="167" spans="1:9" ht="26.25" customHeight="1" x14ac:dyDescent="0.4">
      <c r="A167" s="24" t="s">
        <v>70</v>
      </c>
      <c r="B167" s="161"/>
      <c r="C167" s="30"/>
      <c r="D167" s="56"/>
      <c r="E167" s="58"/>
      <c r="F167" s="72"/>
      <c r="H167" s="58"/>
      <c r="I167" s="58"/>
    </row>
    <row r="168" spans="1:9" ht="26.25" customHeight="1" x14ac:dyDescent="0.4">
      <c r="A168" s="24" t="s">
        <v>71</v>
      </c>
      <c r="B168" s="161"/>
      <c r="C168" s="30"/>
      <c r="D168" s="73"/>
      <c r="E168" s="74" t="s">
        <v>47</v>
      </c>
      <c r="F168" s="177" t="e">
        <f>AVERAGE(F161:F166)</f>
        <v>#DIV/0!</v>
      </c>
      <c r="H168" s="58"/>
      <c r="I168" s="58"/>
    </row>
    <row r="169" spans="1:9" ht="27" customHeight="1" x14ac:dyDescent="0.4">
      <c r="A169" s="24" t="s">
        <v>72</v>
      </c>
      <c r="B169" s="161"/>
      <c r="C169" s="76"/>
      <c r="D169" s="77"/>
      <c r="E169" s="78" t="s">
        <v>57</v>
      </c>
      <c r="F169" s="178" t="e">
        <f>STDEV(F161:F166)/F168</f>
        <v>#DIV/0!</v>
      </c>
      <c r="H169" s="58"/>
      <c r="I169" s="58"/>
    </row>
    <row r="170" spans="1:9" ht="27" customHeight="1" x14ac:dyDescent="0.4">
      <c r="A170" s="454" t="s">
        <v>52</v>
      </c>
      <c r="B170" s="464"/>
      <c r="C170" s="80"/>
      <c r="D170" s="81"/>
      <c r="E170" s="82" t="s">
        <v>3</v>
      </c>
      <c r="F170" s="179">
        <f>COUNT(F161:F166)</f>
        <v>0</v>
      </c>
      <c r="H170" s="58"/>
      <c r="I170" s="58"/>
    </row>
    <row r="171" spans="1:9" ht="19.5" customHeight="1" x14ac:dyDescent="0.3">
      <c r="A171" s="456"/>
      <c r="B171" s="465"/>
      <c r="C171" s="58"/>
      <c r="D171" s="58"/>
      <c r="E171" s="58"/>
      <c r="F171" s="56"/>
      <c r="G171" s="58"/>
      <c r="H171" s="58"/>
      <c r="I171" s="58"/>
    </row>
    <row r="172" spans="1:9" ht="18.75" x14ac:dyDescent="0.3">
      <c r="A172" s="21"/>
      <c r="B172" s="21"/>
      <c r="C172" s="58"/>
      <c r="D172" s="58"/>
      <c r="E172" s="58"/>
      <c r="F172" s="56"/>
      <c r="G172" s="58"/>
      <c r="H172" s="58"/>
      <c r="I172" s="58"/>
    </row>
    <row r="173" spans="1:9" ht="26.25" customHeight="1" x14ac:dyDescent="0.4">
      <c r="A173" s="11" t="s">
        <v>89</v>
      </c>
      <c r="B173" s="151" t="s">
        <v>81</v>
      </c>
      <c r="C173" s="471" t="str">
        <f>B20</f>
        <v>Atazanavir</v>
      </c>
      <c r="D173" s="471"/>
      <c r="E173" s="153" t="s">
        <v>82</v>
      </c>
      <c r="F173" s="153"/>
      <c r="G173" s="180" t="e">
        <f>F168</f>
        <v>#DIV/0!</v>
      </c>
      <c r="H173" s="58"/>
      <c r="I173" s="58"/>
    </row>
    <row r="174" spans="1:9" ht="18.75" x14ac:dyDescent="0.3">
      <c r="A174" s="11"/>
      <c r="B174" s="151"/>
      <c r="C174" s="155"/>
      <c r="D174" s="155"/>
      <c r="E174" s="153"/>
      <c r="F174" s="153"/>
      <c r="G174" s="154"/>
      <c r="H174" s="58"/>
      <c r="I174" s="58"/>
    </row>
    <row r="175" spans="1:9" ht="19.5" customHeight="1" x14ac:dyDescent="0.3">
      <c r="A175" s="97"/>
      <c r="B175" s="97"/>
      <c r="C175" s="98"/>
      <c r="D175" s="98"/>
      <c r="E175" s="98"/>
      <c r="F175" s="98"/>
      <c r="G175" s="98"/>
      <c r="H175" s="98"/>
    </row>
    <row r="176" spans="1:9" ht="18.75" x14ac:dyDescent="0.3">
      <c r="B176" s="472" t="s">
        <v>4</v>
      </c>
      <c r="C176" s="472"/>
      <c r="E176" s="85" t="s">
        <v>5</v>
      </c>
      <c r="F176" s="112"/>
      <c r="G176" s="472" t="s">
        <v>6</v>
      </c>
      <c r="H176" s="472"/>
    </row>
    <row r="177" spans="1:9" ht="83.1" customHeight="1" x14ac:dyDescent="0.3">
      <c r="A177" s="113" t="s">
        <v>7</v>
      </c>
      <c r="B177" s="149"/>
      <c r="C177" s="149"/>
      <c r="E177" s="108"/>
      <c r="F177" s="58"/>
      <c r="G177" s="110"/>
      <c r="H177" s="110"/>
    </row>
    <row r="178" spans="1:9" ht="83.1" customHeight="1" x14ac:dyDescent="0.3">
      <c r="A178" s="113" t="s">
        <v>8</v>
      </c>
      <c r="B178" s="150"/>
      <c r="C178" s="150"/>
      <c r="E178" s="109"/>
      <c r="F178" s="58"/>
      <c r="G178" s="111"/>
      <c r="H178" s="111"/>
    </row>
    <row r="179" spans="1:9" ht="18.75" x14ac:dyDescent="0.3">
      <c r="A179" s="55"/>
      <c r="B179" s="55"/>
      <c r="C179" s="56"/>
      <c r="D179" s="56"/>
      <c r="E179" s="56"/>
      <c r="F179" s="57"/>
      <c r="G179" s="56"/>
      <c r="H179" s="56"/>
      <c r="I179" s="58"/>
    </row>
    <row r="180" spans="1:9" ht="18.75" x14ac:dyDescent="0.3">
      <c r="A180" s="55"/>
      <c r="B180" s="55"/>
      <c r="C180" s="56"/>
      <c r="D180" s="56"/>
      <c r="E180" s="56"/>
      <c r="F180" s="57"/>
      <c r="G180" s="56"/>
      <c r="H180" s="56"/>
      <c r="I180" s="58"/>
    </row>
    <row r="181" spans="1:9" ht="18.75" x14ac:dyDescent="0.3">
      <c r="A181" s="55"/>
      <c r="B181" s="55"/>
      <c r="C181" s="56"/>
      <c r="D181" s="56"/>
      <c r="E181" s="56"/>
      <c r="F181" s="57"/>
      <c r="G181" s="56"/>
      <c r="H181" s="56"/>
      <c r="I181" s="58"/>
    </row>
    <row r="182" spans="1:9" ht="18.75" x14ac:dyDescent="0.3">
      <c r="A182" s="55"/>
      <c r="B182" s="55"/>
      <c r="C182" s="56"/>
      <c r="D182" s="56"/>
      <c r="E182" s="56"/>
      <c r="F182" s="57"/>
      <c r="G182" s="56"/>
      <c r="H182" s="56"/>
      <c r="I182" s="58"/>
    </row>
    <row r="183" spans="1:9" ht="18.75" x14ac:dyDescent="0.3">
      <c r="A183" s="55"/>
      <c r="B183" s="55"/>
      <c r="C183" s="56"/>
      <c r="D183" s="56"/>
      <c r="E183" s="56"/>
      <c r="F183" s="57"/>
      <c r="G183" s="56"/>
      <c r="H183" s="56"/>
      <c r="I183" s="58"/>
    </row>
    <row r="184" spans="1:9" ht="18.75" x14ac:dyDescent="0.3">
      <c r="A184" s="55"/>
      <c r="B184" s="55"/>
      <c r="C184" s="56"/>
      <c r="D184" s="56"/>
      <c r="E184" s="56"/>
      <c r="F184" s="57"/>
      <c r="G184" s="56"/>
      <c r="H184" s="56"/>
      <c r="I184" s="58"/>
    </row>
    <row r="185" spans="1:9" ht="18.75" x14ac:dyDescent="0.3">
      <c r="A185" s="55"/>
      <c r="B185" s="55"/>
      <c r="C185" s="56"/>
      <c r="D185" s="56"/>
      <c r="E185" s="56"/>
      <c r="F185" s="57"/>
      <c r="G185" s="56"/>
      <c r="H185" s="56"/>
      <c r="I185" s="58"/>
    </row>
    <row r="186" spans="1:9" ht="18.75" x14ac:dyDescent="0.3">
      <c r="A186" s="55"/>
      <c r="B186" s="55"/>
      <c r="C186" s="56"/>
      <c r="D186" s="56"/>
      <c r="E186" s="56"/>
      <c r="F186" s="57"/>
      <c r="G186" s="56"/>
      <c r="H186" s="56"/>
      <c r="I186" s="58"/>
    </row>
    <row r="187" spans="1:9" ht="18.75" x14ac:dyDescent="0.3">
      <c r="A187" s="55"/>
      <c r="B187" s="55"/>
      <c r="C187" s="56"/>
      <c r="D187" s="56"/>
      <c r="E187" s="56"/>
      <c r="F187" s="57"/>
      <c r="G187" s="56"/>
      <c r="H187" s="56"/>
      <c r="I187" s="58"/>
    </row>
    <row r="250" spans="1:1" x14ac:dyDescent="0.25">
      <c r="A250" s="1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</vt:lpstr>
      <vt:lpstr>SST A</vt:lpstr>
      <vt:lpstr>Uniformity (2)</vt:lpstr>
      <vt:lpstr>Ritonavir</vt:lpstr>
      <vt:lpstr>Atazanavir </vt:lpstr>
      <vt:lpstr>'Atazanavir '!Print_Area</vt:lpstr>
      <vt:lpstr>Ritonavir!Print_Area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2016-12-21T07:21:56Z</cp:lastPrinted>
  <dcterms:created xsi:type="dcterms:W3CDTF">2005-07-05T10:19:27Z</dcterms:created>
  <dcterms:modified xsi:type="dcterms:W3CDTF">2016-12-21T08:38:40Z</dcterms:modified>
</cp:coreProperties>
</file>