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23640" windowHeight="11685" activeTab="3"/>
  </bookViews>
  <sheets>
    <sheet name="Uniformity" sheetId="4" r:id="rId1"/>
    <sheet name="SST E" sheetId="1" r:id="rId2"/>
    <sheet name="Emtricitabine" sheetId="2" r:id="rId3"/>
    <sheet name="SST T" sheetId="5" r:id="rId4"/>
    <sheet name="TDF" sheetId="3" r:id="rId5"/>
  </sheets>
  <definedNames>
    <definedName name="_xlnm.Print_Area" localSheetId="2">Emtricitabine!$A$1:$I$130</definedName>
    <definedName name="_xlnm.Print_Area" localSheetId="1">'SST E'!$A$1:$H$61</definedName>
    <definedName name="_xlnm.Print_Area" localSheetId="3">'SST T'!$A$1:$H$61</definedName>
    <definedName name="_xlnm.Print_Area" localSheetId="4">TDF!$A$1:$I$130</definedName>
    <definedName name="_xlnm.Print_Area" localSheetId="0">Uniformity!$A$1:$L$54</definedName>
  </definedNames>
  <calcPr calcId="144525"/>
</workbook>
</file>

<file path=xl/calcChain.xml><?xml version="1.0" encoding="utf-8"?>
<calcChain xmlns="http://schemas.openxmlformats.org/spreadsheetml/2006/main">
  <c r="F96" i="3" l="1"/>
  <c r="D96" i="3"/>
  <c r="F96" i="2"/>
  <c r="D96" i="2"/>
  <c r="B41" i="5"/>
  <c r="B40" i="5"/>
  <c r="B39" i="5"/>
  <c r="B20" i="5"/>
  <c r="B19" i="5"/>
  <c r="B18" i="5"/>
  <c r="B39" i="1"/>
  <c r="B40" i="1"/>
  <c r="B41" i="1"/>
  <c r="B20" i="1"/>
  <c r="B19" i="1"/>
  <c r="D68" i="3"/>
  <c r="D64" i="3"/>
  <c r="D60" i="3"/>
  <c r="B57" i="3"/>
  <c r="B57" i="2"/>
  <c r="B53" i="5"/>
  <c r="E51" i="5"/>
  <c r="D51" i="5"/>
  <c r="C51" i="5"/>
  <c r="B51" i="5"/>
  <c r="B52" i="5" s="1"/>
  <c r="B32" i="5"/>
  <c r="B31" i="5"/>
  <c r="E30" i="5"/>
  <c r="D30" i="5"/>
  <c r="C30" i="5"/>
  <c r="B30" i="5"/>
  <c r="C46" i="4"/>
  <c r="D50" i="4" s="1"/>
  <c r="C45" i="4"/>
  <c r="C19" i="4"/>
  <c r="C124" i="3"/>
  <c r="B116" i="3"/>
  <c r="D100" i="3" s="1"/>
  <c r="B98" i="3"/>
  <c r="F97" i="3"/>
  <c r="F95" i="3"/>
  <c r="D95" i="3"/>
  <c r="B87" i="3"/>
  <c r="D97" i="3" s="1"/>
  <c r="D98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124" i="2"/>
  <c r="B116" i="2"/>
  <c r="D100" i="2" s="1"/>
  <c r="B98" i="2"/>
  <c r="F95" i="2"/>
  <c r="D95" i="2"/>
  <c r="B87" i="2"/>
  <c r="F97" i="2" s="1"/>
  <c r="B81" i="2"/>
  <c r="B83" i="2" s="1"/>
  <c r="B80" i="2"/>
  <c r="B79" i="2"/>
  <c r="C76" i="2"/>
  <c r="B68" i="2"/>
  <c r="B69" i="2" s="1"/>
  <c r="C56" i="2"/>
  <c r="B55" i="2"/>
  <c r="B45" i="2"/>
  <c r="D48" i="2" s="1"/>
  <c r="F42" i="2"/>
  <c r="D42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99" i="3"/>
  <c r="D101" i="3"/>
  <c r="G94" i="3" s="1"/>
  <c r="B69" i="3"/>
  <c r="I39" i="3"/>
  <c r="F98" i="3"/>
  <c r="F99" i="3" s="1"/>
  <c r="D45" i="3"/>
  <c r="D46" i="3" s="1"/>
  <c r="F44" i="3"/>
  <c r="F45" i="3" s="1"/>
  <c r="F46" i="3" s="1"/>
  <c r="D101" i="2"/>
  <c r="G93" i="2" s="1"/>
  <c r="I92" i="2"/>
  <c r="D97" i="2"/>
  <c r="D98" i="2" s="1"/>
  <c r="D35" i="4"/>
  <c r="D36" i="4"/>
  <c r="D43" i="4"/>
  <c r="D27" i="4"/>
  <c r="D28" i="4"/>
  <c r="I39" i="2"/>
  <c r="F98" i="2"/>
  <c r="F99" i="2" s="1"/>
  <c r="F45" i="2"/>
  <c r="F46" i="2" s="1"/>
  <c r="D29" i="4"/>
  <c r="D30" i="4"/>
  <c r="D38" i="4"/>
  <c r="B49" i="4"/>
  <c r="D39" i="4"/>
  <c r="D32" i="4"/>
  <c r="D40" i="4"/>
  <c r="D25" i="4"/>
  <c r="D33" i="4"/>
  <c r="D41" i="4"/>
  <c r="C50" i="4"/>
  <c r="D37" i="4"/>
  <c r="D31" i="4"/>
  <c r="C49" i="4"/>
  <c r="D24" i="4"/>
  <c r="D49" i="4"/>
  <c r="D26" i="4"/>
  <c r="D34" i="4"/>
  <c r="D42" i="4"/>
  <c r="D49" i="2"/>
  <c r="D49" i="3"/>
  <c r="E40" i="3"/>
  <c r="E38" i="3"/>
  <c r="E41" i="3"/>
  <c r="E39" i="3"/>
  <c r="G41" i="3"/>
  <c r="E94" i="3"/>
  <c r="G94" i="2"/>
  <c r="D44" i="2"/>
  <c r="D45" i="2" s="1"/>
  <c r="D46" i="2" s="1"/>
  <c r="G91" i="3" l="1"/>
  <c r="E93" i="3"/>
  <c r="E92" i="3"/>
  <c r="E91" i="2"/>
  <c r="D102" i="2"/>
  <c r="E93" i="2"/>
  <c r="D102" i="3"/>
  <c r="G93" i="3"/>
  <c r="E91" i="3"/>
  <c r="G39" i="3"/>
  <c r="G38" i="3"/>
  <c r="G40" i="3"/>
  <c r="G92" i="3"/>
  <c r="D99" i="2"/>
  <c r="E92" i="2"/>
  <c r="E94" i="2"/>
  <c r="G38" i="2"/>
  <c r="E38" i="2"/>
  <c r="G91" i="2"/>
  <c r="G41" i="2"/>
  <c r="G92" i="2"/>
  <c r="G39" i="2"/>
  <c r="G40" i="2"/>
  <c r="E42" i="3"/>
  <c r="E40" i="2"/>
  <c r="E39" i="2"/>
  <c r="E41" i="2"/>
  <c r="D103" i="3" l="1"/>
  <c r="E111" i="3" s="1"/>
  <c r="F111" i="3" s="1"/>
  <c r="D50" i="3"/>
  <c r="G64" i="3" s="1"/>
  <c r="H64" i="3" s="1"/>
  <c r="D52" i="3"/>
  <c r="E95" i="3"/>
  <c r="G95" i="3"/>
  <c r="G42" i="3"/>
  <c r="D105" i="3"/>
  <c r="E95" i="2"/>
  <c r="D103" i="2"/>
  <c r="E111" i="2" s="1"/>
  <c r="F111" i="2" s="1"/>
  <c r="D105" i="2"/>
  <c r="G42" i="2"/>
  <c r="D52" i="2"/>
  <c r="D50" i="2"/>
  <c r="G66" i="2" s="1"/>
  <c r="H66" i="2" s="1"/>
  <c r="E42" i="2"/>
  <c r="G95" i="2"/>
  <c r="G71" i="3"/>
  <c r="H71" i="3" s="1"/>
  <c r="G67" i="3"/>
  <c r="H67" i="3" s="1"/>
  <c r="G63" i="3"/>
  <c r="H63" i="3" s="1"/>
  <c r="E110" i="3" l="1"/>
  <c r="F110" i="3" s="1"/>
  <c r="E112" i="3"/>
  <c r="F112" i="3" s="1"/>
  <c r="D104" i="3"/>
  <c r="E108" i="3"/>
  <c r="F108" i="3" s="1"/>
  <c r="E113" i="3"/>
  <c r="F113" i="3" s="1"/>
  <c r="E109" i="3"/>
  <c r="F109" i="3" s="1"/>
  <c r="G68" i="3"/>
  <c r="H68" i="3" s="1"/>
  <c r="G69" i="3"/>
  <c r="H69" i="3" s="1"/>
  <c r="G61" i="3"/>
  <c r="H61" i="3" s="1"/>
  <c r="G70" i="3"/>
  <c r="H70" i="3" s="1"/>
  <c r="G65" i="3"/>
  <c r="H65" i="3" s="1"/>
  <c r="G62" i="3"/>
  <c r="H62" i="3" s="1"/>
  <c r="G66" i="3"/>
  <c r="H66" i="3" s="1"/>
  <c r="G60" i="3"/>
  <c r="H60" i="3" s="1"/>
  <c r="D51" i="3"/>
  <c r="E108" i="2"/>
  <c r="F108" i="2" s="1"/>
  <c r="E112" i="2"/>
  <c r="F112" i="2" s="1"/>
  <c r="E109" i="2"/>
  <c r="F109" i="2" s="1"/>
  <c r="E110" i="2"/>
  <c r="F110" i="2" s="1"/>
  <c r="E113" i="2"/>
  <c r="F113" i="2" s="1"/>
  <c r="D104" i="2"/>
  <c r="G71" i="2"/>
  <c r="H71" i="2" s="1"/>
  <c r="G70" i="2"/>
  <c r="H70" i="2" s="1"/>
  <c r="G68" i="2"/>
  <c r="H68" i="2" s="1"/>
  <c r="G62" i="2"/>
  <c r="H62" i="2" s="1"/>
  <c r="G69" i="2"/>
  <c r="H69" i="2" s="1"/>
  <c r="D51" i="2"/>
  <c r="G67" i="2"/>
  <c r="H67" i="2" s="1"/>
  <c r="G63" i="2"/>
  <c r="H63" i="2" s="1"/>
  <c r="G61" i="2"/>
  <c r="H61" i="2" s="1"/>
  <c r="G64" i="2"/>
  <c r="H64" i="2" s="1"/>
  <c r="G60" i="2"/>
  <c r="G65" i="2"/>
  <c r="H65" i="2" s="1"/>
  <c r="E120" i="3" l="1"/>
  <c r="E119" i="3"/>
  <c r="E115" i="3"/>
  <c r="E116" i="3" s="1"/>
  <c r="E117" i="3"/>
  <c r="G72" i="3"/>
  <c r="G73" i="3" s="1"/>
  <c r="G74" i="3"/>
  <c r="E117" i="2"/>
  <c r="E119" i="2"/>
  <c r="E115" i="2"/>
  <c r="E116" i="2" s="1"/>
  <c r="E120" i="2"/>
  <c r="G72" i="2"/>
  <c r="G73" i="2" s="1"/>
  <c r="G74" i="2"/>
  <c r="H60" i="2"/>
  <c r="H72" i="2" s="1"/>
  <c r="H74" i="3"/>
  <c r="H72" i="3"/>
  <c r="F125" i="2"/>
  <c r="F117" i="2"/>
  <c r="D125" i="2"/>
  <c r="F119" i="2"/>
  <c r="F120" i="2"/>
  <c r="F115" i="2"/>
  <c r="F125" i="3"/>
  <c r="F117" i="3"/>
  <c r="D125" i="3"/>
  <c r="F120" i="3"/>
  <c r="F115" i="3"/>
  <c r="F119" i="3"/>
  <c r="H74" i="2" l="1"/>
  <c r="G124" i="2"/>
  <c r="F116" i="2"/>
  <c r="G124" i="3"/>
  <c r="F116" i="3"/>
  <c r="G76" i="3"/>
  <c r="H73" i="3"/>
  <c r="H73" i="2"/>
  <c r="G76" i="2"/>
</calcChain>
</file>

<file path=xl/sharedStrings.xml><?xml version="1.0" encoding="utf-8"?>
<sst xmlns="http://schemas.openxmlformats.org/spreadsheetml/2006/main" count="451" uniqueCount="144">
  <si>
    <t>HPLC System Suitability Report</t>
  </si>
  <si>
    <t>Analysis Data</t>
  </si>
  <si>
    <t>Assay</t>
  </si>
  <si>
    <t>Sample(s)</t>
  </si>
  <si>
    <t>Reference Substance:</t>
  </si>
  <si>
    <t>EMITRICITABINE/TENOFOVIR</t>
  </si>
  <si>
    <t>% age Purity:</t>
  </si>
  <si>
    <t>NDQB201611224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</si>
  <si>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</si>
  <si>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</si>
  <si>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</si>
  <si>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</si>
  <si>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</si>
  <si>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</si>
  <si>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</si>
  <si>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</si>
  <si>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</si>
  <si>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</si>
  <si>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</si>
  <si>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</si>
  <si>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</si>
  <si>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</si>
  <si>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</si>
  <si>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</si>
  <si>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</si>
  <si>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</si>
  <si>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</si>
  <si>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</si>
  <si>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</si>
  <si>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</si>
  <si>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</si>
  <si>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</si>
  <si>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</si>
  <si>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</si>
  <si>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</si>
  <si>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</si>
  <si>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</si>
  <si>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</si>
  <si>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</si>
  <si>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</si>
  <si>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</si>
  <si>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</si>
  <si>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</si>
  <si>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</si>
  <si>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</si>
  <si>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</si>
  <si>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</si>
  <si>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</si>
  <si>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</si>
  <si>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</si>
  <si>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</si>
  <si>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</si>
  <si>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</si>
  <si>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</si>
  <si>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</si>
  <si>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</si>
  <si>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</si>
  <si>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</si>
  <si>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</si>
  <si>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</si>
  <si>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</si>
  <si>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</si>
  <si>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</si>
  <si>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</si>
  <si>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</si>
  <si>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</si>
  <si>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</si>
  <si>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</si>
  <si>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</si>
  <si>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</si>
  <si>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</si>
  <si>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</si>
  <si>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</si>
  <si>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</si>
  <si>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</si>
  <si>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</si>
  <si>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</si>
  <si>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</si>
  <si>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</si>
  <si>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</si>
  <si>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</si>
  <si>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</si>
  <si>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</si>
  <si>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</si>
  <si>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</si>
  <si>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</si>
  <si>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</si>
  <si>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</si>
  <si>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</si>
  <si>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</si>
  <si>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</si>
  <si>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</si>
  <si>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</si>
  <si>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</si>
  <si>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</si>
  <si>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</si>
  <si>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</si>
  <si>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</si>
  <si>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</si>
  <si>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</si>
  <si>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</si>
  <si>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</si>
  <si>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</si>
  <si>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</si>
  <si>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</si>
  <si>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</si>
  <si>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</si>
  <si>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</si>
  <si>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</si>
  <si>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</si>
  <si>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</si>
  <si>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</si>
  <si>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</si>
  <si>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</si>
  <si>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</si>
  <si>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</si>
  <si>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</si>
  <si>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</si>
  <si>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</si>
  <si>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</si>
  <si>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</si>
  <si>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Uniformity of Weight Test Report</t>
  </si>
  <si>
    <t>TENOFOVIR DISOPROXIL FUMARATE/  LAMIVUDINE/ EFAVIRENZ  TABLETS 300 MG/300 MG /600 MG</t>
  </si>
  <si>
    <t>NDQB201610192</t>
  </si>
  <si>
    <t>Tenofovir Disoproxil Fumarate, Lamivudine, Efavirenz</t>
  </si>
  <si>
    <t>Each film coated tablets contains Tenofovir disoproxil fumarate 300 mg, lamivudine USP 300 mg, Efavirenz 600 mg</t>
  </si>
  <si>
    <t>2016-10-26 09:24:19</t>
  </si>
  <si>
    <t>Uniformity of weight</t>
  </si>
  <si>
    <t>Tablet weight (mg)</t>
  </si>
  <si>
    <t>% Deviation</t>
  </si>
  <si>
    <t>Total</t>
  </si>
  <si>
    <t>Average</t>
  </si>
  <si>
    <t>% Deviation from mean</t>
  </si>
  <si>
    <t>Emtricitabine</t>
  </si>
  <si>
    <t>E11 3</t>
  </si>
  <si>
    <t>Tenofovir DF</t>
  </si>
  <si>
    <t>T11 8</t>
  </si>
  <si>
    <t>TENOFOVIR DISOPROXIL FUMERATE</t>
  </si>
  <si>
    <t>EMTRICITABINE</t>
  </si>
  <si>
    <t xml:space="preserve">Each film coated tablet contains 200mg of emtricitabine </t>
  </si>
  <si>
    <t>Each film coated tablet contains 300mg of tenofovir disoproxyl fumerate,which is equivavalent to 245mg of tenofovir disoproxil.</t>
  </si>
  <si>
    <t>EMITRICITABINE</t>
  </si>
  <si>
    <t>Bugigi</t>
  </si>
  <si>
    <t>19/12/2016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</si>
</sst>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  <numFmt numFmtId="175" formatCode="[$-409]d/mmm/yy;@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2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2" fillId="2" borderId="0"/>
    <xf numFmtId="0" fontId="22" fillId="2" borderId="0"/>
  </cellStyleXfs>
  <cellXfs count="52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9" fillId="2" borderId="3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23" fillId="2" borderId="0" xfId="1" applyFont="1" applyFill="1"/>
    <xf numFmtId="0" fontId="24" fillId="2" borderId="54" xfId="1" applyFont="1" applyFill="1" applyBorder="1" applyAlignment="1">
      <alignment horizontal="center" wrapText="1"/>
    </xf>
    <xf numFmtId="0" fontId="24" fillId="2" borderId="55" xfId="1" applyFont="1" applyFill="1" applyBorder="1" applyAlignment="1">
      <alignment horizontal="center" wrapText="1"/>
    </xf>
    <xf numFmtId="0" fontId="24" fillId="2" borderId="56" xfId="1" applyFont="1" applyFill="1" applyBorder="1" applyAlignment="1">
      <alignment horizontal="center" wrapText="1"/>
    </xf>
    <xf numFmtId="0" fontId="24" fillId="2" borderId="0" xfId="1" applyFont="1" applyFill="1" applyAlignment="1">
      <alignment wrapText="1"/>
    </xf>
    <xf numFmtId="0" fontId="25" fillId="2" borderId="0" xfId="1" applyFont="1" applyFill="1" applyAlignment="1">
      <alignment horizontal="center"/>
    </xf>
    <xf numFmtId="0" fontId="25" fillId="2" borderId="0" xfId="1" applyFont="1" applyFill="1"/>
    <xf numFmtId="0" fontId="26" fillId="2" borderId="0" xfId="1" applyFont="1" applyFill="1" applyAlignment="1">
      <alignment horizontal="right"/>
    </xf>
    <xf numFmtId="0" fontId="27" fillId="2" borderId="0" xfId="1" applyFont="1" applyFill="1"/>
    <xf numFmtId="175" fontId="27" fillId="2" borderId="0" xfId="1" applyNumberFormat="1" applyFont="1" applyFill="1" applyAlignment="1">
      <alignment horizontal="center"/>
    </xf>
    <xf numFmtId="0" fontId="26" fillId="2" borderId="0" xfId="1" applyFont="1" applyFill="1" applyAlignment="1">
      <alignment horizontal="right"/>
    </xf>
    <xf numFmtId="175" fontId="27" fillId="2" borderId="0" xfId="1" applyNumberFormat="1" applyFont="1" applyFill="1"/>
    <xf numFmtId="0" fontId="25" fillId="2" borderId="0" xfId="1" applyFont="1" applyFill="1" applyAlignment="1">
      <alignment horizontal="left"/>
    </xf>
    <xf numFmtId="0" fontId="28" fillId="2" borderId="0" xfId="1" applyFont="1" applyFill="1"/>
    <xf numFmtId="164" fontId="23" fillId="2" borderId="0" xfId="1" applyNumberFormat="1" applyFont="1" applyFill="1" applyAlignment="1">
      <alignment horizontal="center"/>
    </xf>
    <xf numFmtId="164" fontId="23" fillId="2" borderId="0" xfId="1" applyNumberFormat="1" applyFont="1" applyFill="1"/>
    <xf numFmtId="164" fontId="26" fillId="2" borderId="19" xfId="1" applyNumberFormat="1" applyFont="1" applyFill="1" applyBorder="1" applyAlignment="1">
      <alignment horizontal="center" wrapText="1"/>
    </xf>
    <xf numFmtId="0" fontId="26" fillId="2" borderId="19" xfId="1" applyFont="1" applyFill="1" applyBorder="1" applyAlignment="1">
      <alignment horizontal="center" wrapText="1"/>
    </xf>
    <xf numFmtId="0" fontId="29" fillId="2" borderId="0" xfId="1" applyFont="1" applyFill="1" applyAlignment="1">
      <alignment horizontal="center"/>
    </xf>
    <xf numFmtId="2" fontId="27" fillId="3" borderId="40" xfId="1" applyNumberFormat="1" applyFont="1" applyFill="1" applyBorder="1" applyProtection="1">
      <protection locked="0"/>
    </xf>
    <xf numFmtId="10" fontId="27" fillId="2" borderId="23" xfId="1" applyNumberFormat="1" applyFont="1" applyFill="1" applyBorder="1" applyAlignment="1">
      <alignment horizontal="center"/>
    </xf>
    <xf numFmtId="10" fontId="27" fillId="2" borderId="0" xfId="1" applyNumberFormat="1" applyFont="1" applyFill="1" applyAlignment="1">
      <alignment horizontal="center"/>
    </xf>
    <xf numFmtId="10" fontId="27" fillId="2" borderId="40" xfId="1" applyNumberFormat="1" applyFont="1" applyFill="1" applyBorder="1" applyAlignment="1">
      <alignment horizontal="center"/>
    </xf>
    <xf numFmtId="2" fontId="27" fillId="3" borderId="30" xfId="1" applyNumberFormat="1" applyFont="1" applyFill="1" applyBorder="1" applyProtection="1">
      <protection locked="0"/>
    </xf>
    <xf numFmtId="10" fontId="27" fillId="2" borderId="30" xfId="1" applyNumberFormat="1" applyFont="1" applyFill="1" applyBorder="1" applyAlignment="1">
      <alignment horizontal="center"/>
    </xf>
    <xf numFmtId="170" fontId="29" fillId="2" borderId="0" xfId="1" applyNumberFormat="1" applyFont="1" applyFill="1" applyAlignment="1">
      <alignment horizontal="center"/>
    </xf>
    <xf numFmtId="10" fontId="29" fillId="2" borderId="0" xfId="1" applyNumberFormat="1" applyFont="1" applyFill="1" applyAlignment="1">
      <alignment horizontal="center"/>
    </xf>
    <xf numFmtId="0" fontId="27" fillId="2" borderId="19" xfId="1" applyFont="1" applyFill="1" applyBorder="1" applyAlignment="1">
      <alignment horizontal="right" vertical="center"/>
    </xf>
    <xf numFmtId="170" fontId="27" fillId="2" borderId="19" xfId="1" applyNumberFormat="1" applyFont="1" applyFill="1" applyBorder="1" applyAlignment="1">
      <alignment horizontal="center" vertical="center"/>
    </xf>
    <xf numFmtId="170" fontId="27" fillId="2" borderId="0" xfId="1" applyNumberFormat="1" applyFont="1" applyFill="1" applyAlignment="1">
      <alignment horizontal="center"/>
    </xf>
    <xf numFmtId="164" fontId="26" fillId="2" borderId="19" xfId="1" applyNumberFormat="1" applyFont="1" applyFill="1" applyBorder="1" applyAlignment="1">
      <alignment horizontal="center" vertical="center"/>
    </xf>
    <xf numFmtId="2" fontId="30" fillId="2" borderId="0" xfId="1" applyNumberFormat="1" applyFont="1" applyFill="1" applyAlignment="1">
      <alignment horizontal="right"/>
    </xf>
    <xf numFmtId="2" fontId="26" fillId="2" borderId="0" xfId="1" applyNumberFormat="1" applyFont="1" applyFill="1"/>
    <xf numFmtId="2" fontId="30" fillId="2" borderId="0" xfId="1" applyNumberFormat="1" applyFont="1" applyFill="1"/>
    <xf numFmtId="0" fontId="26" fillId="2" borderId="19" xfId="1" applyFont="1" applyFill="1" applyBorder="1" applyAlignment="1">
      <alignment horizontal="center" vertical="center"/>
    </xf>
    <xf numFmtId="10" fontId="29" fillId="2" borderId="0" xfId="1" applyNumberFormat="1" applyFont="1" applyFill="1"/>
    <xf numFmtId="170" fontId="26" fillId="2" borderId="23" xfId="1" applyNumberFormat="1" applyFont="1" applyFill="1" applyBorder="1" applyAlignment="1">
      <alignment horizontal="center" vertical="center"/>
    </xf>
    <xf numFmtId="165" fontId="26" fillId="2" borderId="35" xfId="1" applyNumberFormat="1" applyFont="1" applyFill="1" applyBorder="1" applyAlignment="1">
      <alignment horizontal="center"/>
    </xf>
    <xf numFmtId="2" fontId="26" fillId="2" borderId="19" xfId="1" applyNumberFormat="1" applyFont="1" applyFill="1" applyBorder="1" applyAlignment="1">
      <alignment horizontal="center" vertical="center"/>
    </xf>
    <xf numFmtId="170" fontId="26" fillId="2" borderId="30" xfId="1" applyNumberFormat="1" applyFont="1" applyFill="1" applyBorder="1" applyAlignment="1">
      <alignment horizontal="center" vertical="center"/>
    </xf>
    <xf numFmtId="165" fontId="26" fillId="2" borderId="37" xfId="1" applyNumberFormat="1" applyFont="1" applyFill="1" applyBorder="1" applyAlignment="1">
      <alignment horizontal="center"/>
    </xf>
    <xf numFmtId="0" fontId="27" fillId="2" borderId="9" xfId="1" applyFont="1" applyFill="1" applyBorder="1"/>
    <xf numFmtId="0" fontId="27" fillId="2" borderId="0" xfId="1" applyFont="1" applyFill="1" applyAlignment="1">
      <alignment horizontal="center"/>
    </xf>
    <xf numFmtId="10" fontId="27" fillId="2" borderId="9" xfId="1" applyNumberFormat="1" applyFont="1" applyFill="1" applyBorder="1"/>
    <xf numFmtId="0" fontId="26" fillId="2" borderId="10" xfId="1" applyFont="1" applyFill="1" applyBorder="1"/>
    <xf numFmtId="0" fontId="26" fillId="2" borderId="10" xfId="1" applyFont="1" applyFill="1" applyBorder="1" applyAlignment="1">
      <alignment horizontal="center"/>
    </xf>
    <xf numFmtId="0" fontId="27" fillId="2" borderId="10" xfId="1" applyFont="1" applyFill="1" applyBorder="1" applyAlignment="1">
      <alignment horizontal="center"/>
    </xf>
    <xf numFmtId="0" fontId="27" fillId="2" borderId="7" xfId="1" applyFont="1" applyFill="1" applyBorder="1"/>
    <xf numFmtId="0" fontId="26" fillId="2" borderId="11" xfId="1" applyFont="1" applyFill="1" applyBorder="1"/>
    <xf numFmtId="0" fontId="26" fillId="2" borderId="0" xfId="1" applyFont="1" applyFill="1"/>
    <xf numFmtId="0" fontId="27" fillId="2" borderId="11" xfId="1" applyFont="1" applyFill="1" applyBorder="1"/>
    <xf numFmtId="0" fontId="22" fillId="2" borderId="0" xfId="1" applyFill="1"/>
    <xf numFmtId="0" fontId="23" fillId="2" borderId="0" xfId="0" applyFont="1" applyFill="1"/>
    <xf numFmtId="0" fontId="29" fillId="2" borderId="7" xfId="0" applyFont="1" applyFill="1" applyBorder="1"/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C43" sqref="C43"/>
    </sheetView>
  </sheetViews>
  <sheetFormatPr defaultRowHeight="15" x14ac:dyDescent="0.3"/>
  <cols>
    <col min="1" max="1" width="15.5703125" style="469" customWidth="1"/>
    <col min="2" max="2" width="18.42578125" style="469" customWidth="1"/>
    <col min="3" max="3" width="14.28515625" style="469" customWidth="1"/>
    <col min="4" max="4" width="15" style="469" customWidth="1"/>
    <col min="5" max="5" width="9.140625" style="469" customWidth="1"/>
    <col min="6" max="6" width="27.85546875" style="469" customWidth="1"/>
    <col min="7" max="7" width="12.28515625" style="469" customWidth="1"/>
    <col min="8" max="8" width="9.140625" style="469" customWidth="1"/>
    <col min="9" max="16384" width="9.140625" style="520"/>
  </cols>
  <sheetData>
    <row r="10" spans="1:7" ht="13.5" customHeight="1" thickBot="1" x14ac:dyDescent="0.35"/>
    <row r="11" spans="1:7" ht="13.5" customHeight="1" thickBot="1" x14ac:dyDescent="0.35">
      <c r="A11" s="470" t="s">
        <v>30</v>
      </c>
      <c r="B11" s="471"/>
      <c r="C11" s="471"/>
      <c r="D11" s="471"/>
      <c r="E11" s="471"/>
      <c r="F11" s="472"/>
      <c r="G11" s="473"/>
    </row>
    <row r="12" spans="1:7" ht="16.5" customHeight="1" x14ac:dyDescent="0.3">
      <c r="A12" s="474" t="s">
        <v>121</v>
      </c>
      <c r="B12" s="474"/>
      <c r="C12" s="474"/>
      <c r="D12" s="474"/>
      <c r="E12" s="474"/>
      <c r="F12" s="474"/>
      <c r="G12" s="475"/>
    </row>
    <row r="14" spans="1:7" ht="16.5" customHeight="1" x14ac:dyDescent="0.3">
      <c r="A14" s="476" t="s">
        <v>32</v>
      </c>
      <c r="B14" s="476"/>
      <c r="C14" s="477" t="s">
        <v>122</v>
      </c>
    </row>
    <row r="15" spans="1:7" ht="16.5" customHeight="1" x14ac:dyDescent="0.3">
      <c r="A15" s="476" t="s">
        <v>33</v>
      </c>
      <c r="B15" s="476"/>
      <c r="C15" s="477" t="s">
        <v>123</v>
      </c>
    </row>
    <row r="16" spans="1:7" ht="16.5" customHeight="1" x14ac:dyDescent="0.3">
      <c r="A16" s="476" t="s">
        <v>34</v>
      </c>
      <c r="B16" s="476"/>
      <c r="C16" s="477" t="s">
        <v>124</v>
      </c>
    </row>
    <row r="17" spans="1:5" ht="16.5" customHeight="1" x14ac:dyDescent="0.3">
      <c r="A17" s="476" t="s">
        <v>35</v>
      </c>
      <c r="B17" s="476"/>
      <c r="C17" s="477" t="s">
        <v>125</v>
      </c>
    </row>
    <row r="18" spans="1:5" ht="16.5" customHeight="1" x14ac:dyDescent="0.3">
      <c r="A18" s="476" t="s">
        <v>36</v>
      </c>
      <c r="B18" s="476"/>
      <c r="C18" s="478" t="s">
        <v>126</v>
      </c>
    </row>
    <row r="19" spans="1:5" ht="16.5" customHeight="1" x14ac:dyDescent="0.3">
      <c r="A19" s="476" t="s">
        <v>37</v>
      </c>
      <c r="B19" s="476"/>
      <c r="C19" s="478" t="e">
        <f>#REF!</f>
        <v>#REF!</v>
      </c>
    </row>
    <row r="20" spans="1:5" ht="16.5" customHeight="1" x14ac:dyDescent="0.3">
      <c r="A20" s="479"/>
      <c r="B20" s="479"/>
      <c r="C20" s="480"/>
    </row>
    <row r="21" spans="1:5" ht="16.5" customHeight="1" x14ac:dyDescent="0.3">
      <c r="A21" s="474" t="s">
        <v>1</v>
      </c>
      <c r="B21" s="474"/>
      <c r="C21" s="481" t="s">
        <v>127</v>
      </c>
      <c r="D21" s="482"/>
    </row>
    <row r="22" spans="1:5" ht="15.75" customHeight="1" thickBot="1" x14ac:dyDescent="0.35">
      <c r="A22" s="483"/>
      <c r="B22" s="483"/>
      <c r="C22" s="484"/>
      <c r="D22" s="483"/>
      <c r="E22" s="483"/>
    </row>
    <row r="23" spans="1:5" ht="33.75" customHeight="1" thickBot="1" x14ac:dyDescent="0.35">
      <c r="C23" s="485" t="s">
        <v>128</v>
      </c>
      <c r="D23" s="486" t="s">
        <v>129</v>
      </c>
      <c r="E23" s="487"/>
    </row>
    <row r="24" spans="1:5" ht="15.75" customHeight="1" x14ac:dyDescent="0.3">
      <c r="C24" s="488">
        <v>1019.26</v>
      </c>
      <c r="D24" s="489">
        <f t="shared" ref="D24:D43" si="0">(C24-$C$46)/$C$46</f>
        <v>-1.9471121188364306E-4</v>
      </c>
      <c r="E24" s="490"/>
    </row>
    <row r="25" spans="1:5" ht="15.75" customHeight="1" x14ac:dyDescent="0.3">
      <c r="C25" s="488">
        <v>1009.25</v>
      </c>
      <c r="D25" s="491">
        <f t="shared" si="0"/>
        <v>-1.0013649403090043E-2</v>
      </c>
      <c r="E25" s="490"/>
    </row>
    <row r="26" spans="1:5" ht="15.75" customHeight="1" x14ac:dyDescent="0.3">
      <c r="C26" s="488">
        <v>1006.34</v>
      </c>
      <c r="D26" s="491">
        <f t="shared" si="0"/>
        <v>-1.2868105960173994E-2</v>
      </c>
      <c r="E26" s="490"/>
    </row>
    <row r="27" spans="1:5" ht="15.75" customHeight="1" x14ac:dyDescent="0.3">
      <c r="C27" s="488">
        <v>1017.22</v>
      </c>
      <c r="D27" s="491">
        <f t="shared" si="0"/>
        <v>-2.1957735405610376E-3</v>
      </c>
      <c r="E27" s="490"/>
    </row>
    <row r="28" spans="1:5" ht="15.75" customHeight="1" x14ac:dyDescent="0.3">
      <c r="C28" s="488">
        <v>1023.29</v>
      </c>
      <c r="D28" s="491">
        <f t="shared" si="0"/>
        <v>3.758367800160469E-3</v>
      </c>
      <c r="E28" s="490"/>
    </row>
    <row r="29" spans="1:5" ht="15.75" customHeight="1" x14ac:dyDescent="0.3">
      <c r="C29" s="488">
        <v>1015.16</v>
      </c>
      <c r="D29" s="491">
        <f t="shared" si="0"/>
        <v>-4.2164541273628144E-3</v>
      </c>
      <c r="E29" s="490"/>
    </row>
    <row r="30" spans="1:5" ht="15.75" customHeight="1" x14ac:dyDescent="0.3">
      <c r="C30" s="488">
        <v>1028.26</v>
      </c>
      <c r="D30" s="491">
        <f t="shared" si="0"/>
        <v>8.6335049440461956E-3</v>
      </c>
      <c r="E30" s="490"/>
    </row>
    <row r="31" spans="1:5" ht="15.75" customHeight="1" x14ac:dyDescent="0.3">
      <c r="C31" s="488">
        <v>1024.98</v>
      </c>
      <c r="D31" s="491">
        <f t="shared" si="0"/>
        <v>5.4161106116629035E-3</v>
      </c>
      <c r="E31" s="490"/>
    </row>
    <row r="32" spans="1:5" ht="15.75" customHeight="1" x14ac:dyDescent="0.3">
      <c r="C32" s="488">
        <v>1009.61</v>
      </c>
      <c r="D32" s="491">
        <f t="shared" si="0"/>
        <v>-9.6605207568528362E-3</v>
      </c>
      <c r="E32" s="490"/>
    </row>
    <row r="33" spans="1:7" ht="15.75" customHeight="1" x14ac:dyDescent="0.3">
      <c r="C33" s="488">
        <v>1016.12</v>
      </c>
      <c r="D33" s="491">
        <f t="shared" si="0"/>
        <v>-3.2747777373969291E-3</v>
      </c>
      <c r="E33" s="490"/>
    </row>
    <row r="34" spans="1:7" ht="15.75" customHeight="1" x14ac:dyDescent="0.3">
      <c r="C34" s="488">
        <v>1024.47</v>
      </c>
      <c r="D34" s="491">
        <f t="shared" si="0"/>
        <v>4.9158450294935546E-3</v>
      </c>
      <c r="E34" s="490"/>
    </row>
    <row r="35" spans="1:7" ht="15.75" customHeight="1" x14ac:dyDescent="0.3">
      <c r="C35" s="488">
        <v>1011.9</v>
      </c>
      <c r="D35" s="491">
        <f t="shared" si="0"/>
        <v>-7.4142302016218355E-3</v>
      </c>
      <c r="E35" s="490"/>
    </row>
    <row r="36" spans="1:7" ht="15.75" customHeight="1" x14ac:dyDescent="0.3">
      <c r="C36" s="488">
        <v>1018.51</v>
      </c>
      <c r="D36" s="491">
        <f t="shared" si="0"/>
        <v>-9.3039589154446291E-4</v>
      </c>
      <c r="E36" s="490"/>
    </row>
    <row r="37" spans="1:7" ht="15.75" customHeight="1" x14ac:dyDescent="0.3">
      <c r="C37" s="488">
        <v>1022.14</v>
      </c>
      <c r="D37" s="491">
        <f t="shared" si="0"/>
        <v>2.6303179580139009E-3</v>
      </c>
      <c r="E37" s="490"/>
    </row>
    <row r="38" spans="1:7" ht="15.75" customHeight="1" x14ac:dyDescent="0.3">
      <c r="C38" s="488">
        <v>1015.68</v>
      </c>
      <c r="D38" s="491">
        <f t="shared" si="0"/>
        <v>-3.70637941613133E-3</v>
      </c>
      <c r="E38" s="490"/>
    </row>
    <row r="39" spans="1:7" ht="15.75" customHeight="1" x14ac:dyDescent="0.3">
      <c r="C39" s="488">
        <v>1024.31</v>
      </c>
      <c r="D39" s="491">
        <f t="shared" si="0"/>
        <v>4.7588989644991664E-3</v>
      </c>
      <c r="E39" s="490"/>
    </row>
    <row r="40" spans="1:7" ht="15.75" customHeight="1" x14ac:dyDescent="0.3">
      <c r="C40" s="488">
        <v>1026.27</v>
      </c>
      <c r="D40" s="491">
        <f t="shared" si="0"/>
        <v>6.6814882606794782E-3</v>
      </c>
      <c r="E40" s="490"/>
    </row>
    <row r="41" spans="1:7" ht="15.75" customHeight="1" x14ac:dyDescent="0.3">
      <c r="C41" s="488">
        <v>1022.06</v>
      </c>
      <c r="D41" s="491">
        <f t="shared" si="0"/>
        <v>2.5518449255167064E-3</v>
      </c>
      <c r="E41" s="490"/>
    </row>
    <row r="42" spans="1:7" ht="15.75" customHeight="1" x14ac:dyDescent="0.3">
      <c r="C42" s="488">
        <v>1035.26</v>
      </c>
      <c r="D42" s="491">
        <f t="shared" si="0"/>
        <v>1.5499895287547182E-2</v>
      </c>
      <c r="E42" s="490"/>
    </row>
    <row r="43" spans="1:7" ht="16.5" customHeight="1" thickBot="1" x14ac:dyDescent="0.35">
      <c r="C43" s="492">
        <v>1019.08</v>
      </c>
      <c r="D43" s="493">
        <f t="shared" si="0"/>
        <v>-3.7127553500219078E-4</v>
      </c>
      <c r="E43" s="490"/>
    </row>
    <row r="44" spans="1:7" ht="16.5" customHeight="1" thickBot="1" x14ac:dyDescent="0.35">
      <c r="C44" s="494"/>
      <c r="D44" s="490"/>
      <c r="E44" s="495"/>
    </row>
    <row r="45" spans="1:7" ht="16.5" customHeight="1" thickBot="1" x14ac:dyDescent="0.35">
      <c r="B45" s="496" t="s">
        <v>130</v>
      </c>
      <c r="C45" s="497">
        <f>SUM(C24:C44)</f>
        <v>20389.170000000002</v>
      </c>
      <c r="D45" s="498"/>
      <c r="E45" s="494"/>
    </row>
    <row r="46" spans="1:7" ht="17.25" customHeight="1" thickBot="1" x14ac:dyDescent="0.35">
      <c r="B46" s="496" t="s">
        <v>131</v>
      </c>
      <c r="C46" s="499">
        <f>AVERAGE(C24:C44)</f>
        <v>1019.4585000000001</v>
      </c>
      <c r="E46" s="500"/>
    </row>
    <row r="47" spans="1:7" ht="17.25" customHeight="1" thickBot="1" x14ac:dyDescent="0.35">
      <c r="A47" s="477"/>
      <c r="B47" s="501"/>
      <c r="D47" s="502"/>
      <c r="E47" s="500"/>
    </row>
    <row r="48" spans="1:7" ht="33.75" customHeight="1" thickBot="1" x14ac:dyDescent="0.35">
      <c r="B48" s="503" t="s">
        <v>131</v>
      </c>
      <c r="C48" s="486" t="s">
        <v>132</v>
      </c>
      <c r="D48" s="504"/>
      <c r="G48" s="502"/>
    </row>
    <row r="49" spans="1:6" ht="17.25" customHeight="1" thickBot="1" x14ac:dyDescent="0.35">
      <c r="B49" s="505">
        <f>C46</f>
        <v>1019.4585000000001</v>
      </c>
      <c r="C49" s="506">
        <f>-IF(C46&lt;=80,10%,IF(C46&lt;250,7.5%,5%))</f>
        <v>-0.05</v>
      </c>
      <c r="D49" s="507">
        <f>IF(C46&lt;=80,C46*0.9,IF(C46&lt;250,C46*0.925,C46*0.95))</f>
        <v>968.48557500000004</v>
      </c>
    </row>
    <row r="50" spans="1:6" ht="17.25" customHeight="1" thickBot="1" x14ac:dyDescent="0.35">
      <c r="B50" s="508"/>
      <c r="C50" s="509">
        <f>IF(C46&lt;=80, 10%, IF(C46&lt;250, 7.5%, 5%))</f>
        <v>0.05</v>
      </c>
      <c r="D50" s="507">
        <f>IF(C46&lt;=80, C46*1.1, IF(C46&lt;250, C46*1.075, C46*1.05))</f>
        <v>1070.4314250000002</v>
      </c>
    </row>
    <row r="51" spans="1:6" ht="16.5" customHeight="1" thickBot="1" x14ac:dyDescent="0.35">
      <c r="A51" s="510"/>
      <c r="B51" s="511"/>
      <c r="C51" s="477"/>
      <c r="D51" s="512"/>
      <c r="E51" s="477"/>
      <c r="F51" s="482"/>
    </row>
    <row r="52" spans="1:6" ht="16.5" customHeight="1" x14ac:dyDescent="0.3">
      <c r="A52" s="477"/>
      <c r="B52" s="513" t="s">
        <v>23</v>
      </c>
      <c r="C52" s="513"/>
      <c r="D52" s="514" t="s">
        <v>24</v>
      </c>
      <c r="E52" s="515"/>
      <c r="F52" s="514" t="s">
        <v>25</v>
      </c>
    </row>
    <row r="53" spans="1:6" ht="34.5" customHeight="1" x14ac:dyDescent="0.3">
      <c r="A53" s="479" t="s">
        <v>26</v>
      </c>
      <c r="B53" s="516"/>
      <c r="C53" s="477"/>
      <c r="D53" s="516"/>
      <c r="E53" s="477"/>
      <c r="F53" s="516"/>
    </row>
    <row r="54" spans="1:6" ht="34.5" customHeight="1" x14ac:dyDescent="0.3">
      <c r="A54" s="479" t="s">
        <v>27</v>
      </c>
      <c r="B54" s="517"/>
      <c r="C54" s="518"/>
      <c r="D54" s="517"/>
      <c r="E54" s="477"/>
      <c r="F54" s="519"/>
    </row>
  </sheetData>
  <sheetProtection password="F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9" zoomScale="60" zoomScaleNormal="100" workbookViewId="0">
      <selection activeCell="C20" sqref="C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26" t="s">
        <v>0</v>
      </c>
      <c r="B15" s="426"/>
      <c r="C15" s="426"/>
      <c r="D15" s="426"/>
      <c r="E15" s="42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521" t="s">
        <v>141</v>
      </c>
      <c r="C18" s="10"/>
      <c r="D18" s="10"/>
      <c r="E18" s="10"/>
    </row>
    <row r="19" spans="1:6" ht="16.5" customHeight="1" x14ac:dyDescent="0.3">
      <c r="A19" s="11" t="s">
        <v>6</v>
      </c>
      <c r="B19" s="12">
        <f>Emtricitabine!B28</f>
        <v>99.8</v>
      </c>
      <c r="C19" s="10"/>
      <c r="D19" s="10"/>
      <c r="E19" s="10"/>
    </row>
    <row r="20" spans="1:6" ht="16.5" customHeight="1" x14ac:dyDescent="0.3">
      <c r="A20" s="7" t="s">
        <v>8</v>
      </c>
      <c r="B20" s="12">
        <f>Emtricitabine!D43</f>
        <v>8.7100000000000009</v>
      </c>
      <c r="C20" s="10"/>
      <c r="D20" s="10"/>
      <c r="E20" s="10"/>
    </row>
    <row r="21" spans="1:6" ht="16.5" customHeight="1" x14ac:dyDescent="0.3">
      <c r="A21" s="7" t="s">
        <v>9</v>
      </c>
      <c r="B21" s="13"/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10</v>
      </c>
      <c r="B23" s="15" t="s">
        <v>11</v>
      </c>
      <c r="C23" s="14" t="s">
        <v>12</v>
      </c>
      <c r="D23" s="14" t="s">
        <v>13</v>
      </c>
      <c r="E23" s="16" t="s">
        <v>14</v>
      </c>
    </row>
    <row r="24" spans="1:6" ht="16.5" customHeight="1" x14ac:dyDescent="0.3">
      <c r="A24" s="17">
        <v>1</v>
      </c>
      <c r="B24" s="18">
        <v>1299692</v>
      </c>
      <c r="C24" s="18">
        <v>10287.6</v>
      </c>
      <c r="D24" s="19">
        <v>1</v>
      </c>
      <c r="E24" s="20">
        <v>3</v>
      </c>
    </row>
    <row r="25" spans="1:6" ht="16.5" customHeight="1" x14ac:dyDescent="0.3">
      <c r="A25" s="17">
        <v>2</v>
      </c>
      <c r="B25" s="18">
        <v>1313325</v>
      </c>
      <c r="C25" s="18">
        <v>10248</v>
      </c>
      <c r="D25" s="19">
        <v>1</v>
      </c>
      <c r="E25" s="19">
        <v>3</v>
      </c>
    </row>
    <row r="26" spans="1:6" ht="16.5" customHeight="1" x14ac:dyDescent="0.3">
      <c r="A26" s="17">
        <v>3</v>
      </c>
      <c r="B26" s="18">
        <v>1300816</v>
      </c>
      <c r="C26" s="18">
        <v>10355.700000000001</v>
      </c>
      <c r="D26" s="19">
        <v>1</v>
      </c>
      <c r="E26" s="19">
        <v>3</v>
      </c>
    </row>
    <row r="27" spans="1:6" ht="16.5" customHeight="1" x14ac:dyDescent="0.3">
      <c r="A27" s="17">
        <v>4</v>
      </c>
      <c r="B27" s="18">
        <v>1357152</v>
      </c>
      <c r="C27" s="18">
        <v>10338.4</v>
      </c>
      <c r="D27" s="19">
        <v>1</v>
      </c>
      <c r="E27" s="19">
        <v>3</v>
      </c>
    </row>
    <row r="28" spans="1:6" ht="16.5" customHeight="1" x14ac:dyDescent="0.3">
      <c r="A28" s="17">
        <v>5</v>
      </c>
      <c r="B28" s="18">
        <v>1353468</v>
      </c>
      <c r="C28" s="18">
        <v>10233.1</v>
      </c>
      <c r="D28" s="19">
        <v>1.1000000000000001</v>
      </c>
      <c r="E28" s="19">
        <v>3</v>
      </c>
    </row>
    <row r="29" spans="1:6" ht="16.5" customHeight="1" x14ac:dyDescent="0.3">
      <c r="A29" s="17">
        <v>6</v>
      </c>
      <c r="B29" s="21">
        <v>1337450</v>
      </c>
      <c r="C29" s="21">
        <v>10247.9</v>
      </c>
      <c r="D29" s="22">
        <v>1</v>
      </c>
      <c r="E29" s="22">
        <v>3</v>
      </c>
    </row>
    <row r="30" spans="1:6" ht="16.5" customHeight="1" x14ac:dyDescent="0.3">
      <c r="A30" s="23" t="s">
        <v>15</v>
      </c>
      <c r="B30" s="24">
        <f>AVERAGE(B24:B29)</f>
        <v>1326983.8333333333</v>
      </c>
      <c r="C30" s="25">
        <f>AVERAGE(C24:C29)</f>
        <v>10285.116666666667</v>
      </c>
      <c r="D30" s="26">
        <f>AVERAGE(D24:D29)</f>
        <v>1.0166666666666666</v>
      </c>
      <c r="E30" s="26">
        <f>AVERAGE(E24:E29)</f>
        <v>3</v>
      </c>
    </row>
    <row r="31" spans="1:6" ht="16.5" customHeight="1" x14ac:dyDescent="0.3">
      <c r="A31" s="27" t="s">
        <v>16</v>
      </c>
      <c r="B31" s="28">
        <f>(STDEV(B24:B29)/B30)</f>
        <v>1.9468955703931378E-2</v>
      </c>
      <c r="C31" s="29"/>
      <c r="D31" s="29"/>
      <c r="E31" s="30"/>
      <c r="F31" s="2"/>
    </row>
    <row r="32" spans="1:6" s="2" customFormat="1" ht="16.5" customHeight="1" x14ac:dyDescent="0.3">
      <c r="A32" s="31" t="s">
        <v>17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18</v>
      </c>
      <c r="B34" s="37" t="s">
        <v>19</v>
      </c>
      <c r="C34" s="38"/>
      <c r="D34" s="38"/>
      <c r="E34" s="39"/>
    </row>
    <row r="35" spans="1:6" ht="16.5" customHeight="1" x14ac:dyDescent="0.3">
      <c r="A35" s="11"/>
      <c r="B35" s="37" t="s">
        <v>20</v>
      </c>
      <c r="C35" s="38"/>
      <c r="D35" s="38"/>
      <c r="E35" s="39"/>
      <c r="F35" s="2"/>
    </row>
    <row r="36" spans="1:6" ht="16.5" customHeight="1" x14ac:dyDescent="0.3">
      <c r="A36" s="11"/>
      <c r="B36" s="40" t="s">
        <v>21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22</v>
      </c>
    </row>
    <row r="39" spans="1:6" ht="16.5" customHeight="1" x14ac:dyDescent="0.3">
      <c r="A39" s="11" t="s">
        <v>4</v>
      </c>
      <c r="B39" s="8" t="str">
        <f>B18</f>
        <v>EMITRICITABINE</v>
      </c>
      <c r="C39" s="10"/>
      <c r="D39" s="10"/>
      <c r="E39" s="10"/>
    </row>
    <row r="40" spans="1:6" ht="16.5" customHeight="1" x14ac:dyDescent="0.3">
      <c r="A40" s="11" t="s">
        <v>6</v>
      </c>
      <c r="B40" s="12">
        <f>B19</f>
        <v>99.8</v>
      </c>
      <c r="C40" s="10"/>
      <c r="D40" s="10"/>
      <c r="E40" s="10"/>
    </row>
    <row r="41" spans="1:6" ht="16.5" customHeight="1" x14ac:dyDescent="0.3">
      <c r="A41" s="7" t="s">
        <v>8</v>
      </c>
      <c r="B41" s="12">
        <f>B20</f>
        <v>8.7100000000000009</v>
      </c>
      <c r="C41" s="10"/>
      <c r="D41" s="10"/>
      <c r="E41" s="10"/>
    </row>
    <row r="42" spans="1:6" ht="16.5" customHeight="1" x14ac:dyDescent="0.3">
      <c r="A42" s="7" t="s">
        <v>9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10</v>
      </c>
      <c r="B44" s="15" t="s">
        <v>11</v>
      </c>
      <c r="C44" s="14" t="s">
        <v>12</v>
      </c>
      <c r="D44" s="14" t="s">
        <v>13</v>
      </c>
      <c r="E44" s="16" t="s">
        <v>14</v>
      </c>
    </row>
    <row r="45" spans="1:6" ht="16.5" customHeight="1" x14ac:dyDescent="0.3">
      <c r="A45" s="17">
        <v>1</v>
      </c>
      <c r="B45" s="18">
        <v>5206631</v>
      </c>
      <c r="C45" s="18">
        <v>10826.7</v>
      </c>
      <c r="D45" s="19">
        <v>1</v>
      </c>
      <c r="E45" s="20">
        <v>3</v>
      </c>
    </row>
    <row r="46" spans="1:6" ht="16.5" customHeight="1" x14ac:dyDescent="0.3">
      <c r="A46" s="17">
        <v>2</v>
      </c>
      <c r="B46" s="18">
        <v>5210284</v>
      </c>
      <c r="C46" s="18">
        <v>10769.9</v>
      </c>
      <c r="D46" s="19">
        <v>1.1000000000000001</v>
      </c>
      <c r="E46" s="19">
        <v>3</v>
      </c>
    </row>
    <row r="47" spans="1:6" ht="16.5" customHeight="1" x14ac:dyDescent="0.3">
      <c r="A47" s="17">
        <v>3</v>
      </c>
      <c r="B47" s="18">
        <v>5201293</v>
      </c>
      <c r="C47" s="18">
        <v>10867.4</v>
      </c>
      <c r="D47" s="19">
        <v>1</v>
      </c>
      <c r="E47" s="19">
        <v>3</v>
      </c>
    </row>
    <row r="48" spans="1:6" ht="16.5" customHeight="1" x14ac:dyDescent="0.3">
      <c r="A48" s="17">
        <v>4</v>
      </c>
      <c r="B48" s="18">
        <v>5206122</v>
      </c>
      <c r="C48" s="18">
        <v>10861.9</v>
      </c>
      <c r="D48" s="19">
        <v>1</v>
      </c>
      <c r="E48" s="19">
        <v>3</v>
      </c>
    </row>
    <row r="49" spans="1:7" ht="16.5" customHeight="1" x14ac:dyDescent="0.3">
      <c r="A49" s="17">
        <v>5</v>
      </c>
      <c r="B49" s="18">
        <v>5205564</v>
      </c>
      <c r="C49" s="18">
        <v>10850.5</v>
      </c>
      <c r="D49" s="19">
        <v>1.1000000000000001</v>
      </c>
      <c r="E49" s="19">
        <v>3</v>
      </c>
    </row>
    <row r="50" spans="1:7" ht="16.5" customHeight="1" x14ac:dyDescent="0.3">
      <c r="A50" s="17">
        <v>6</v>
      </c>
      <c r="B50" s="21">
        <v>5204570</v>
      </c>
      <c r="C50" s="21">
        <v>10906.3</v>
      </c>
      <c r="D50" s="22">
        <v>1</v>
      </c>
      <c r="E50" s="22">
        <v>3</v>
      </c>
    </row>
    <row r="51" spans="1:7" ht="16.5" customHeight="1" x14ac:dyDescent="0.3">
      <c r="A51" s="23" t="s">
        <v>15</v>
      </c>
      <c r="B51" s="24">
        <f>AVERAGE(B45:B50)</f>
        <v>5205744</v>
      </c>
      <c r="C51" s="25">
        <f>AVERAGE(C45:C50)</f>
        <v>10847.116666666667</v>
      </c>
      <c r="D51" s="26">
        <f>AVERAGE(D45:D50)</f>
        <v>1.0333333333333332</v>
      </c>
      <c r="E51" s="26">
        <f>AVERAGE(E45:E50)</f>
        <v>3</v>
      </c>
    </row>
    <row r="52" spans="1:7" ht="16.5" customHeight="1" x14ac:dyDescent="0.3">
      <c r="A52" s="27" t="s">
        <v>16</v>
      </c>
      <c r="B52" s="28">
        <f>(STDEV(B45:B50)/B51)</f>
        <v>5.6178216683192797E-4</v>
      </c>
      <c r="C52" s="29"/>
      <c r="D52" s="29"/>
      <c r="E52" s="30"/>
      <c r="F52" s="2"/>
    </row>
    <row r="53" spans="1:7" s="2" customFormat="1" ht="16.5" customHeight="1" x14ac:dyDescent="0.3">
      <c r="A53" s="31" t="s">
        <v>17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18</v>
      </c>
      <c r="B55" s="37" t="s">
        <v>19</v>
      </c>
      <c r="C55" s="38"/>
      <c r="D55" s="38"/>
      <c r="E55" s="39"/>
    </row>
    <row r="56" spans="1:7" ht="16.5" customHeight="1" x14ac:dyDescent="0.3">
      <c r="A56" s="11"/>
      <c r="B56" s="37" t="s">
        <v>20</v>
      </c>
      <c r="C56" s="38"/>
      <c r="D56" s="38"/>
      <c r="E56" s="39"/>
      <c r="F56" s="2"/>
    </row>
    <row r="57" spans="1:7" ht="16.5" customHeight="1" x14ac:dyDescent="0.3">
      <c r="A57" s="11"/>
      <c r="B57" s="40" t="s">
        <v>21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27" t="s">
        <v>23</v>
      </c>
      <c r="C59" s="427"/>
      <c r="E59" s="45" t="s">
        <v>24</v>
      </c>
      <c r="F59" s="46"/>
      <c r="G59" s="45" t="s">
        <v>25</v>
      </c>
    </row>
    <row r="60" spans="1:7" ht="15" customHeight="1" x14ac:dyDescent="0.3">
      <c r="A60" s="47" t="s">
        <v>26</v>
      </c>
      <c r="B60" s="522" t="s">
        <v>142</v>
      </c>
      <c r="C60" s="48"/>
      <c r="E60" s="522" t="s">
        <v>143</v>
      </c>
      <c r="F60" s="2"/>
      <c r="G60" s="49"/>
    </row>
    <row r="61" spans="1:7" ht="15" customHeight="1" x14ac:dyDescent="0.3">
      <c r="A61" s="47" t="s">
        <v>27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34" zoomScale="55" zoomScaleNormal="40" zoomScalePageLayoutView="55" workbookViewId="0">
      <selection activeCell="E25" sqref="E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28" t="s">
        <v>28</v>
      </c>
      <c r="B1" s="428"/>
      <c r="C1" s="428"/>
      <c r="D1" s="428"/>
      <c r="E1" s="428"/>
      <c r="F1" s="428"/>
      <c r="G1" s="428"/>
      <c r="H1" s="428"/>
      <c r="I1" s="428"/>
    </row>
    <row r="2" spans="1:9" ht="18.75" customHeight="1" x14ac:dyDescent="0.25">
      <c r="A2" s="428"/>
      <c r="B2" s="428"/>
      <c r="C2" s="428"/>
      <c r="D2" s="428"/>
      <c r="E2" s="428"/>
      <c r="F2" s="428"/>
      <c r="G2" s="428"/>
      <c r="H2" s="428"/>
      <c r="I2" s="428"/>
    </row>
    <row r="3" spans="1:9" ht="18.75" customHeight="1" x14ac:dyDescent="0.25">
      <c r="A3" s="428"/>
      <c r="B3" s="428"/>
      <c r="C3" s="428"/>
      <c r="D3" s="428"/>
      <c r="E3" s="428"/>
      <c r="F3" s="428"/>
      <c r="G3" s="428"/>
      <c r="H3" s="428"/>
      <c r="I3" s="428"/>
    </row>
    <row r="4" spans="1:9" ht="18.75" customHeight="1" x14ac:dyDescent="0.25">
      <c r="A4" s="428"/>
      <c r="B4" s="428"/>
      <c r="C4" s="428"/>
      <c r="D4" s="428"/>
      <c r="E4" s="428"/>
      <c r="F4" s="428"/>
      <c r="G4" s="428"/>
      <c r="H4" s="428"/>
      <c r="I4" s="428"/>
    </row>
    <row r="5" spans="1:9" ht="18.75" customHeight="1" x14ac:dyDescent="0.25">
      <c r="A5" s="428"/>
      <c r="B5" s="428"/>
      <c r="C5" s="428"/>
      <c r="D5" s="428"/>
      <c r="E5" s="428"/>
      <c r="F5" s="428"/>
      <c r="G5" s="428"/>
      <c r="H5" s="428"/>
      <c r="I5" s="428"/>
    </row>
    <row r="6" spans="1:9" ht="18.75" customHeight="1" x14ac:dyDescent="0.25">
      <c r="A6" s="428"/>
      <c r="B6" s="428"/>
      <c r="C6" s="428"/>
      <c r="D6" s="428"/>
      <c r="E6" s="428"/>
      <c r="F6" s="428"/>
      <c r="G6" s="428"/>
      <c r="H6" s="428"/>
      <c r="I6" s="428"/>
    </row>
    <row r="7" spans="1:9" ht="18.75" customHeight="1" x14ac:dyDescent="0.25">
      <c r="A7" s="428"/>
      <c r="B7" s="428"/>
      <c r="C7" s="428"/>
      <c r="D7" s="428"/>
      <c r="E7" s="428"/>
      <c r="F7" s="428"/>
      <c r="G7" s="428"/>
      <c r="H7" s="428"/>
      <c r="I7" s="428"/>
    </row>
    <row r="8" spans="1:9" x14ac:dyDescent="0.25">
      <c r="A8" s="429" t="s">
        <v>29</v>
      </c>
      <c r="B8" s="429"/>
      <c r="C8" s="429"/>
      <c r="D8" s="429"/>
      <c r="E8" s="429"/>
      <c r="F8" s="429"/>
      <c r="G8" s="429"/>
      <c r="H8" s="429"/>
      <c r="I8" s="429"/>
    </row>
    <row r="9" spans="1:9" x14ac:dyDescent="0.25">
      <c r="A9" s="429"/>
      <c r="B9" s="429"/>
      <c r="C9" s="429"/>
      <c r="D9" s="429"/>
      <c r="E9" s="429"/>
      <c r="F9" s="429"/>
      <c r="G9" s="429"/>
      <c r="H9" s="429"/>
      <c r="I9" s="429"/>
    </row>
    <row r="10" spans="1:9" x14ac:dyDescent="0.25">
      <c r="A10" s="429"/>
      <c r="B10" s="429"/>
      <c r="C10" s="429"/>
      <c r="D10" s="429"/>
      <c r="E10" s="429"/>
      <c r="F10" s="429"/>
      <c r="G10" s="429"/>
      <c r="H10" s="429"/>
      <c r="I10" s="429"/>
    </row>
    <row r="11" spans="1:9" x14ac:dyDescent="0.25">
      <c r="A11" s="429"/>
      <c r="B11" s="429"/>
      <c r="C11" s="429"/>
      <c r="D11" s="429"/>
      <c r="E11" s="429"/>
      <c r="F11" s="429"/>
      <c r="G11" s="429"/>
      <c r="H11" s="429"/>
      <c r="I11" s="429"/>
    </row>
    <row r="12" spans="1:9" x14ac:dyDescent="0.25">
      <c r="A12" s="429"/>
      <c r="B12" s="429"/>
      <c r="C12" s="429"/>
      <c r="D12" s="429"/>
      <c r="E12" s="429"/>
      <c r="F12" s="429"/>
      <c r="G12" s="429"/>
      <c r="H12" s="429"/>
      <c r="I12" s="429"/>
    </row>
    <row r="13" spans="1:9" x14ac:dyDescent="0.25">
      <c r="A13" s="429"/>
      <c r="B13" s="429"/>
      <c r="C13" s="429"/>
      <c r="D13" s="429"/>
      <c r="E13" s="429"/>
      <c r="F13" s="429"/>
      <c r="G13" s="429"/>
      <c r="H13" s="429"/>
      <c r="I13" s="429"/>
    </row>
    <row r="14" spans="1:9" x14ac:dyDescent="0.25">
      <c r="A14" s="429"/>
      <c r="B14" s="429"/>
      <c r="C14" s="429"/>
      <c r="D14" s="429"/>
      <c r="E14" s="429"/>
      <c r="F14" s="429"/>
      <c r="G14" s="429"/>
      <c r="H14" s="429"/>
      <c r="I14" s="429"/>
    </row>
    <row r="15" spans="1:9" ht="19.5" customHeight="1" x14ac:dyDescent="0.3">
      <c r="A15" s="52"/>
    </row>
    <row r="16" spans="1:9" ht="19.5" customHeight="1" x14ac:dyDescent="0.3">
      <c r="A16" s="461" t="s">
        <v>30</v>
      </c>
      <c r="B16" s="462"/>
      <c r="C16" s="462"/>
      <c r="D16" s="462"/>
      <c r="E16" s="462"/>
      <c r="F16" s="462"/>
      <c r="G16" s="462"/>
      <c r="H16" s="463"/>
    </row>
    <row r="17" spans="1:14" ht="20.25" customHeight="1" x14ac:dyDescent="0.25">
      <c r="A17" s="464" t="s">
        <v>31</v>
      </c>
      <c r="B17" s="464"/>
      <c r="C17" s="464"/>
      <c r="D17" s="464"/>
      <c r="E17" s="464"/>
      <c r="F17" s="464"/>
      <c r="G17" s="464"/>
      <c r="H17" s="464"/>
    </row>
    <row r="18" spans="1:14" ht="26.25" customHeight="1" x14ac:dyDescent="0.4">
      <c r="A18" s="54" t="s">
        <v>32</v>
      </c>
      <c r="B18" s="460" t="s">
        <v>5</v>
      </c>
      <c r="C18" s="460"/>
      <c r="D18" s="200"/>
      <c r="E18" s="55"/>
      <c r="F18" s="56"/>
      <c r="G18" s="56"/>
      <c r="H18" s="56"/>
    </row>
    <row r="19" spans="1:14" ht="26.25" customHeight="1" x14ac:dyDescent="0.4">
      <c r="A19" s="54" t="s">
        <v>33</v>
      </c>
      <c r="B19" s="57" t="s">
        <v>7</v>
      </c>
      <c r="C19" s="209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34</v>
      </c>
      <c r="B20" s="465" t="s">
        <v>138</v>
      </c>
      <c r="C20" s="465"/>
      <c r="D20" s="56"/>
      <c r="E20" s="56"/>
      <c r="F20" s="56"/>
      <c r="G20" s="56"/>
      <c r="H20" s="56"/>
    </row>
    <row r="21" spans="1:14" ht="26.25" customHeight="1" x14ac:dyDescent="0.4">
      <c r="A21" s="54" t="s">
        <v>35</v>
      </c>
      <c r="B21" s="465" t="s">
        <v>139</v>
      </c>
      <c r="C21" s="465"/>
      <c r="D21" s="465"/>
      <c r="E21" s="465"/>
      <c r="F21" s="465"/>
      <c r="G21" s="465"/>
      <c r="H21" s="465"/>
      <c r="I21" s="58"/>
    </row>
    <row r="22" spans="1:14" ht="26.25" customHeight="1" x14ac:dyDescent="0.4">
      <c r="A22" s="54" t="s">
        <v>36</v>
      </c>
      <c r="B22" s="59">
        <v>42719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37</v>
      </c>
      <c r="B23" s="59">
        <v>42723</v>
      </c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460" t="s">
        <v>133</v>
      </c>
      <c r="C26" s="460"/>
    </row>
    <row r="27" spans="1:14" ht="26.25" customHeight="1" x14ac:dyDescent="0.4">
      <c r="A27" s="63" t="s">
        <v>38</v>
      </c>
      <c r="B27" s="466" t="s">
        <v>134</v>
      </c>
      <c r="C27" s="466"/>
    </row>
    <row r="28" spans="1:14" ht="27" customHeight="1" x14ac:dyDescent="0.4">
      <c r="A28" s="63" t="s">
        <v>6</v>
      </c>
      <c r="B28" s="64">
        <v>99.8</v>
      </c>
    </row>
    <row r="29" spans="1:14" s="14" customFormat="1" ht="27" customHeight="1" x14ac:dyDescent="0.4">
      <c r="A29" s="63" t="s">
        <v>39</v>
      </c>
      <c r="B29" s="65">
        <v>0</v>
      </c>
      <c r="C29" s="436" t="s">
        <v>40</v>
      </c>
      <c r="D29" s="437"/>
      <c r="E29" s="437"/>
      <c r="F29" s="437"/>
      <c r="G29" s="438"/>
      <c r="I29" s="66"/>
      <c r="J29" s="66"/>
      <c r="K29" s="66"/>
      <c r="L29" s="66"/>
    </row>
    <row r="30" spans="1:14" s="14" customFormat="1" ht="19.5" customHeight="1" x14ac:dyDescent="0.3">
      <c r="A30" s="63" t="s">
        <v>41</v>
      </c>
      <c r="B30" s="67">
        <f>B28-B29</f>
        <v>99.8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42</v>
      </c>
      <c r="B31" s="70">
        <v>1</v>
      </c>
      <c r="C31" s="439" t="s">
        <v>43</v>
      </c>
      <c r="D31" s="440"/>
      <c r="E31" s="440"/>
      <c r="F31" s="440"/>
      <c r="G31" s="440"/>
      <c r="H31" s="441"/>
      <c r="I31" s="66"/>
      <c r="J31" s="66"/>
      <c r="K31" s="66"/>
      <c r="L31" s="66"/>
    </row>
    <row r="32" spans="1:14" s="14" customFormat="1" ht="27" customHeight="1" x14ac:dyDescent="0.4">
      <c r="A32" s="63" t="s">
        <v>44</v>
      </c>
      <c r="B32" s="70">
        <v>1</v>
      </c>
      <c r="C32" s="439" t="s">
        <v>45</v>
      </c>
      <c r="D32" s="440"/>
      <c r="E32" s="440"/>
      <c r="F32" s="440"/>
      <c r="G32" s="440"/>
      <c r="H32" s="441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46</v>
      </c>
      <c r="B34" s="75">
        <f>B31/B32</f>
        <v>1</v>
      </c>
      <c r="C34" s="53" t="s">
        <v>47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48</v>
      </c>
      <c r="B36" s="77">
        <v>25</v>
      </c>
      <c r="C36" s="53"/>
      <c r="D36" s="442" t="s">
        <v>49</v>
      </c>
      <c r="E36" s="467"/>
      <c r="F36" s="442" t="s">
        <v>50</v>
      </c>
      <c r="G36" s="443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51</v>
      </c>
      <c r="B37" s="79">
        <v>2</v>
      </c>
      <c r="C37" s="80" t="s">
        <v>52</v>
      </c>
      <c r="D37" s="81" t="s">
        <v>53</v>
      </c>
      <c r="E37" s="82" t="s">
        <v>54</v>
      </c>
      <c r="F37" s="81" t="s">
        <v>53</v>
      </c>
      <c r="G37" s="83" t="s">
        <v>54</v>
      </c>
      <c r="I37" s="84" t="s">
        <v>55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56</v>
      </c>
      <c r="B38" s="79">
        <v>20</v>
      </c>
      <c r="C38" s="85">
        <v>1</v>
      </c>
      <c r="D38" s="86">
        <v>1297647</v>
      </c>
      <c r="E38" s="87">
        <f>IF(ISBLANK(D38),"-",$D$48/$D$45*D38)</f>
        <v>1492821.463823169</v>
      </c>
      <c r="F38" s="86">
        <v>1208934</v>
      </c>
      <c r="G38" s="88">
        <f>IF(ISBLANK(F38),"-",$D$48/$F$45*F38)</f>
        <v>1506662.5788891218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57</v>
      </c>
      <c r="B39" s="79">
        <v>1</v>
      </c>
      <c r="C39" s="90">
        <v>2</v>
      </c>
      <c r="D39" s="91">
        <v>1305724</v>
      </c>
      <c r="E39" s="92">
        <f>IF(ISBLANK(D39),"-",$D$48/$D$45*D39)</f>
        <v>1502113.2966276987</v>
      </c>
      <c r="F39" s="91">
        <v>1218449</v>
      </c>
      <c r="G39" s="93">
        <f>IF(ISBLANK(F39),"-",$D$48/$F$45*F39)</f>
        <v>1518520.8725909535</v>
      </c>
      <c r="I39" s="444">
        <f>ABS((F43/D43*D42)-F42)/D42</f>
        <v>8.5756747065219435E-3</v>
      </c>
      <c r="J39" s="66"/>
      <c r="K39" s="66"/>
      <c r="L39" s="71"/>
      <c r="M39" s="71"/>
      <c r="N39" s="72"/>
    </row>
    <row r="40" spans="1:14" ht="26.25" customHeight="1" x14ac:dyDescent="0.4">
      <c r="A40" s="78" t="s">
        <v>58</v>
      </c>
      <c r="B40" s="79">
        <v>1</v>
      </c>
      <c r="C40" s="90">
        <v>3</v>
      </c>
      <c r="D40" s="91">
        <v>1309638</v>
      </c>
      <c r="E40" s="92">
        <f>IF(ISBLANK(D40),"-",$D$48/$D$45*D40)</f>
        <v>1506615.9874283585</v>
      </c>
      <c r="F40" s="91">
        <v>1218182</v>
      </c>
      <c r="G40" s="93">
        <f>IF(ISBLANK(F40),"-",$D$48/$F$45*F40)</f>
        <v>1518188.1175285899</v>
      </c>
      <c r="I40" s="444"/>
      <c r="L40" s="71"/>
      <c r="M40" s="71"/>
      <c r="N40" s="94"/>
    </row>
    <row r="41" spans="1:14" ht="27" customHeight="1" x14ac:dyDescent="0.4">
      <c r="A41" s="78" t="s">
        <v>59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60</v>
      </c>
      <c r="B42" s="79">
        <v>1</v>
      </c>
      <c r="C42" s="100" t="s">
        <v>61</v>
      </c>
      <c r="D42" s="101">
        <f>AVERAGE(D38:D41)</f>
        <v>1304336.3333333333</v>
      </c>
      <c r="E42" s="102">
        <f>AVERAGE(E38:E41)</f>
        <v>1500516.9159597422</v>
      </c>
      <c r="F42" s="101">
        <f>AVERAGE(F38:F41)</f>
        <v>1215188.3333333333</v>
      </c>
      <c r="G42" s="103">
        <f>AVERAGE(G38:G41)</f>
        <v>1514457.1896695551</v>
      </c>
      <c r="H42" s="104"/>
    </row>
    <row r="43" spans="1:14" ht="26.25" customHeight="1" x14ac:dyDescent="0.4">
      <c r="A43" s="78" t="s">
        <v>62</v>
      </c>
      <c r="B43" s="79">
        <v>1</v>
      </c>
      <c r="C43" s="105" t="s">
        <v>63</v>
      </c>
      <c r="D43" s="106">
        <v>8.7100000000000009</v>
      </c>
      <c r="E43" s="94"/>
      <c r="F43" s="106">
        <v>8.0399999999999991</v>
      </c>
      <c r="H43" s="104"/>
    </row>
    <row r="44" spans="1:14" ht="26.25" customHeight="1" x14ac:dyDescent="0.4">
      <c r="A44" s="78" t="s">
        <v>64</v>
      </c>
      <c r="B44" s="79">
        <v>1</v>
      </c>
      <c r="C44" s="107" t="s">
        <v>65</v>
      </c>
      <c r="D44" s="108">
        <f>D43*$B$34</f>
        <v>8.7100000000000009</v>
      </c>
      <c r="E44" s="109"/>
      <c r="F44" s="108">
        <f>F43*$B$34</f>
        <v>8.0399999999999991</v>
      </c>
      <c r="H44" s="104"/>
    </row>
    <row r="45" spans="1:14" ht="19.5" customHeight="1" x14ac:dyDescent="0.3">
      <c r="A45" s="78" t="s">
        <v>66</v>
      </c>
      <c r="B45" s="110">
        <f>(B44/B43)*(B42/B41)*(B40/B39)*(B38/B37)*B36</f>
        <v>250</v>
      </c>
      <c r="C45" s="107" t="s">
        <v>67</v>
      </c>
      <c r="D45" s="111">
        <f>D44*$B$30/100</f>
        <v>8.6925799999999995</v>
      </c>
      <c r="E45" s="112"/>
      <c r="F45" s="111">
        <f>F44*$B$30/100</f>
        <v>8.0239199999999986</v>
      </c>
      <c r="H45" s="104"/>
    </row>
    <row r="46" spans="1:14" ht="19.5" customHeight="1" x14ac:dyDescent="0.3">
      <c r="A46" s="430" t="s">
        <v>68</v>
      </c>
      <c r="B46" s="431"/>
      <c r="C46" s="107" t="s">
        <v>69</v>
      </c>
      <c r="D46" s="113">
        <f>D45/$B$45</f>
        <v>3.477032E-2</v>
      </c>
      <c r="E46" s="114"/>
      <c r="F46" s="115">
        <f>F45/$B$45</f>
        <v>3.2095679999999994E-2</v>
      </c>
      <c r="H46" s="104"/>
    </row>
    <row r="47" spans="1:14" ht="27" customHeight="1" x14ac:dyDescent="0.4">
      <c r="A47" s="432"/>
      <c r="B47" s="433"/>
      <c r="C47" s="116" t="s">
        <v>70</v>
      </c>
      <c r="D47" s="117">
        <v>0.04</v>
      </c>
      <c r="E47" s="118"/>
      <c r="F47" s="114"/>
      <c r="H47" s="104"/>
    </row>
    <row r="48" spans="1:14" ht="18.75" x14ac:dyDescent="0.3">
      <c r="C48" s="119" t="s">
        <v>71</v>
      </c>
      <c r="D48" s="111">
        <f>D47*$B$45</f>
        <v>10</v>
      </c>
      <c r="F48" s="120"/>
      <c r="H48" s="104"/>
    </row>
    <row r="49" spans="1:12" ht="19.5" customHeight="1" x14ac:dyDescent="0.3">
      <c r="C49" s="121" t="s">
        <v>72</v>
      </c>
      <c r="D49" s="122">
        <f>D48/B34</f>
        <v>10</v>
      </c>
      <c r="F49" s="120"/>
      <c r="H49" s="104"/>
    </row>
    <row r="50" spans="1:12" ht="18.75" x14ac:dyDescent="0.3">
      <c r="C50" s="76" t="s">
        <v>73</v>
      </c>
      <c r="D50" s="123">
        <f>AVERAGE(E38:E41,G38:G41)</f>
        <v>1507487.0528146485</v>
      </c>
      <c r="F50" s="124"/>
      <c r="H50" s="104"/>
    </row>
    <row r="51" spans="1:12" ht="18.75" x14ac:dyDescent="0.3">
      <c r="C51" s="78" t="s">
        <v>74</v>
      </c>
      <c r="D51" s="125">
        <f>STDEV(E38:E41,G38:G41)/D50</f>
        <v>6.5107144290958005E-3</v>
      </c>
      <c r="F51" s="124"/>
      <c r="H51" s="104"/>
    </row>
    <row r="52" spans="1:12" ht="19.5" customHeight="1" x14ac:dyDescent="0.3">
      <c r="C52" s="126" t="s">
        <v>17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75</v>
      </c>
    </row>
    <row r="55" spans="1:12" ht="18.75" x14ac:dyDescent="0.3">
      <c r="A55" s="53" t="s">
        <v>76</v>
      </c>
      <c r="B55" s="130" t="str">
        <f>B21</f>
        <v xml:space="preserve">Each film coated tablet contains 200mg of emtricitabine </v>
      </c>
    </row>
    <row r="56" spans="1:12" ht="26.25" customHeight="1" x14ac:dyDescent="0.4">
      <c r="A56" s="131" t="s">
        <v>77</v>
      </c>
      <c r="B56" s="132">
        <v>200</v>
      </c>
      <c r="C56" s="53" t="str">
        <f>B20</f>
        <v>EMTRICITABINE</v>
      </c>
      <c r="H56" s="133"/>
    </row>
    <row r="57" spans="1:12" ht="18.75" x14ac:dyDescent="0.3">
      <c r="A57" s="130" t="s">
        <v>78</v>
      </c>
      <c r="B57" s="201">
        <f>Uniformity!C46</f>
        <v>1019.4585000000001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79</v>
      </c>
      <c r="B59" s="77">
        <v>200</v>
      </c>
      <c r="C59" s="53"/>
      <c r="D59" s="134" t="s">
        <v>80</v>
      </c>
      <c r="E59" s="135" t="s">
        <v>52</v>
      </c>
      <c r="F59" s="135" t="s">
        <v>53</v>
      </c>
      <c r="G59" s="135" t="s">
        <v>81</v>
      </c>
      <c r="H59" s="80" t="s">
        <v>82</v>
      </c>
      <c r="L59" s="66"/>
    </row>
    <row r="60" spans="1:12" s="14" customFormat="1" ht="26.25" customHeight="1" x14ac:dyDescent="0.4">
      <c r="A60" s="78" t="s">
        <v>83</v>
      </c>
      <c r="B60" s="79">
        <v>1</v>
      </c>
      <c r="C60" s="447" t="s">
        <v>84</v>
      </c>
      <c r="D60" s="450">
        <v>1013.99</v>
      </c>
      <c r="E60" s="136">
        <v>1</v>
      </c>
      <c r="F60" s="137">
        <v>1974760</v>
      </c>
      <c r="G60" s="202">
        <f>IF(ISBLANK(F60),"-",(F60/$D$50*$D$47*$B$68)*($B$57/$D$60))</f>
        <v>210.72525730631594</v>
      </c>
      <c r="H60" s="220">
        <f t="shared" ref="H60:H71" si="0">IF(ISBLANK(F60),"-",(G60/$B$56)*100)</f>
        <v>105.36262865315797</v>
      </c>
      <c r="L60" s="66"/>
    </row>
    <row r="61" spans="1:12" s="14" customFormat="1" ht="26.25" customHeight="1" x14ac:dyDescent="0.4">
      <c r="A61" s="78" t="s">
        <v>85</v>
      </c>
      <c r="B61" s="79">
        <v>20</v>
      </c>
      <c r="C61" s="448"/>
      <c r="D61" s="451"/>
      <c r="E61" s="138">
        <v>2</v>
      </c>
      <c r="F61" s="91">
        <v>1884308</v>
      </c>
      <c r="G61" s="203">
        <f>IF(ISBLANK(F61),"-",(F61/$D$50*$D$47*$B$68)*($B$57/$D$60))</f>
        <v>201.07318770096089</v>
      </c>
      <c r="H61" s="221">
        <f t="shared" si="0"/>
        <v>100.53659385048044</v>
      </c>
      <c r="L61" s="66"/>
    </row>
    <row r="62" spans="1:12" s="14" customFormat="1" ht="26.25" customHeight="1" x14ac:dyDescent="0.4">
      <c r="A62" s="78" t="s">
        <v>86</v>
      </c>
      <c r="B62" s="79">
        <v>1</v>
      </c>
      <c r="C62" s="448"/>
      <c r="D62" s="451"/>
      <c r="E62" s="138">
        <v>3</v>
      </c>
      <c r="F62" s="139">
        <v>1888385</v>
      </c>
      <c r="G62" s="203">
        <f>IF(ISBLANK(F62),"-",(F62/$D$50*$D$47*$B$68)*($B$57/$D$60))</f>
        <v>201.50824151713999</v>
      </c>
      <c r="H62" s="221">
        <f t="shared" si="0"/>
        <v>100.75412075857</v>
      </c>
      <c r="L62" s="66"/>
    </row>
    <row r="63" spans="1:12" ht="27" customHeight="1" x14ac:dyDescent="0.4">
      <c r="A63" s="78" t="s">
        <v>87</v>
      </c>
      <c r="B63" s="79">
        <v>1</v>
      </c>
      <c r="C63" s="457"/>
      <c r="D63" s="452"/>
      <c r="E63" s="140">
        <v>4</v>
      </c>
      <c r="F63" s="141"/>
      <c r="G63" s="203" t="str">
        <f>IF(ISBLANK(F63),"-",(F63/$D$50*$D$47*$B$68)*($B$57/$D$60))</f>
        <v>-</v>
      </c>
      <c r="H63" s="221" t="str">
        <f t="shared" si="0"/>
        <v>-</v>
      </c>
    </row>
    <row r="64" spans="1:12" ht="26.25" customHeight="1" x14ac:dyDescent="0.4">
      <c r="A64" s="78" t="s">
        <v>88</v>
      </c>
      <c r="B64" s="79">
        <v>1</v>
      </c>
      <c r="C64" s="447" t="s">
        <v>89</v>
      </c>
      <c r="D64" s="450">
        <v>1027</v>
      </c>
      <c r="E64" s="136">
        <v>1</v>
      </c>
      <c r="F64" s="137">
        <v>1913442</v>
      </c>
      <c r="G64" s="202">
        <f>IF(ISBLANK(F64),"-",(F64/$D$50*$D$47*$B$68)*($B$57/$D$64))</f>
        <v>201.59548531395313</v>
      </c>
      <c r="H64" s="220">
        <f t="shared" si="0"/>
        <v>100.79774265697657</v>
      </c>
    </row>
    <row r="65" spans="1:8" ht="26.25" customHeight="1" x14ac:dyDescent="0.4">
      <c r="A65" s="78" t="s">
        <v>90</v>
      </c>
      <c r="B65" s="79">
        <v>1</v>
      </c>
      <c r="C65" s="448"/>
      <c r="D65" s="451"/>
      <c r="E65" s="138">
        <v>2</v>
      </c>
      <c r="F65" s="91">
        <v>1945016</v>
      </c>
      <c r="G65" s="203">
        <f>IF(ISBLANK(F65),"-",(F65/$D$50*$D$47*$B$68)*($B$57/$D$64))</f>
        <v>204.92204334565866</v>
      </c>
      <c r="H65" s="221">
        <f t="shared" si="0"/>
        <v>102.46102167282933</v>
      </c>
    </row>
    <row r="66" spans="1:8" ht="26.25" customHeight="1" x14ac:dyDescent="0.4">
      <c r="A66" s="78" t="s">
        <v>91</v>
      </c>
      <c r="B66" s="79">
        <v>1</v>
      </c>
      <c r="C66" s="448"/>
      <c r="D66" s="451"/>
      <c r="E66" s="138">
        <v>3</v>
      </c>
      <c r="F66" s="91">
        <v>1911472</v>
      </c>
      <c r="G66" s="203">
        <f>IF(ISBLANK(F66),"-",(F66/$D$50*$D$47*$B$68)*($B$57/$D$64))</f>
        <v>201.38793101856893</v>
      </c>
      <c r="H66" s="221">
        <f t="shared" si="0"/>
        <v>100.69396550928447</v>
      </c>
    </row>
    <row r="67" spans="1:8" ht="27" customHeight="1" x14ac:dyDescent="0.4">
      <c r="A67" s="78" t="s">
        <v>92</v>
      </c>
      <c r="B67" s="79">
        <v>1</v>
      </c>
      <c r="C67" s="457"/>
      <c r="D67" s="452"/>
      <c r="E67" s="140">
        <v>4</v>
      </c>
      <c r="F67" s="141"/>
      <c r="G67" s="219" t="str">
        <f>IF(ISBLANK(F67),"-",(F67/$D$50*$D$47*$B$68)*($B$57/$D$64))</f>
        <v>-</v>
      </c>
      <c r="H67" s="222" t="str">
        <f t="shared" si="0"/>
        <v>-</v>
      </c>
    </row>
    <row r="68" spans="1:8" ht="26.25" customHeight="1" x14ac:dyDescent="0.4">
      <c r="A68" s="78" t="s">
        <v>93</v>
      </c>
      <c r="B68" s="142">
        <f>(B67/B66)*(B65/B64)*(B63/B62)*(B61/B60)*B59</f>
        <v>4000</v>
      </c>
      <c r="C68" s="447" t="s">
        <v>94</v>
      </c>
      <c r="D68" s="450">
        <v>1024.1500000000001</v>
      </c>
      <c r="E68" s="136">
        <v>1</v>
      </c>
      <c r="F68" s="137">
        <v>1906371</v>
      </c>
      <c r="G68" s="202">
        <f>IF(ISBLANK(F68),"-",(F68/$D$50*$D$47*$B$68)*($B$57/$D$68))</f>
        <v>201.40942823020174</v>
      </c>
      <c r="H68" s="221">
        <f t="shared" si="0"/>
        <v>100.70471411510087</v>
      </c>
    </row>
    <row r="69" spans="1:8" ht="27" customHeight="1" x14ac:dyDescent="0.4">
      <c r="A69" s="126" t="s">
        <v>95</v>
      </c>
      <c r="B69" s="143">
        <f>(D47*B68)/B56*B57</f>
        <v>815.56680000000006</v>
      </c>
      <c r="C69" s="448"/>
      <c r="D69" s="451"/>
      <c r="E69" s="138">
        <v>2</v>
      </c>
      <c r="F69" s="91">
        <v>1913192</v>
      </c>
      <c r="G69" s="203">
        <f>IF(ISBLANK(F69),"-",(F69/$D$50*$D$47*$B$68)*($B$57/$D$68))</f>
        <v>202.1300716463879</v>
      </c>
      <c r="H69" s="221">
        <f t="shared" si="0"/>
        <v>101.06503582319395</v>
      </c>
    </row>
    <row r="70" spans="1:8" ht="26.25" customHeight="1" x14ac:dyDescent="0.4">
      <c r="A70" s="453" t="s">
        <v>68</v>
      </c>
      <c r="B70" s="454"/>
      <c r="C70" s="448"/>
      <c r="D70" s="451"/>
      <c r="E70" s="138">
        <v>3</v>
      </c>
      <c r="F70" s="91">
        <v>1902799</v>
      </c>
      <c r="G70" s="203">
        <f>IF(ISBLANK(F70),"-",(F70/$D$50*$D$47*$B$68)*($B$57/$D$68))</f>
        <v>201.03204393426023</v>
      </c>
      <c r="H70" s="221">
        <f t="shared" si="0"/>
        <v>100.51602196713011</v>
      </c>
    </row>
    <row r="71" spans="1:8" ht="27" customHeight="1" x14ac:dyDescent="0.4">
      <c r="A71" s="455"/>
      <c r="B71" s="456"/>
      <c r="C71" s="449"/>
      <c r="D71" s="452"/>
      <c r="E71" s="140">
        <v>4</v>
      </c>
      <c r="F71" s="141"/>
      <c r="G71" s="219" t="str">
        <f>IF(ISBLANK(F71),"-",(F71/$D$50*$D$47*$B$68)*($B$57/$D$68))</f>
        <v>-</v>
      </c>
      <c r="H71" s="222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61</v>
      </c>
      <c r="G72" s="208">
        <f>AVERAGE(G60:G71)</f>
        <v>202.86485444593859</v>
      </c>
      <c r="H72" s="223">
        <f>AVERAGE(H60:H71)</f>
        <v>101.4324272229693</v>
      </c>
    </row>
    <row r="73" spans="1:8" ht="26.25" customHeight="1" x14ac:dyDescent="0.4">
      <c r="C73" s="144"/>
      <c r="D73" s="144"/>
      <c r="E73" s="144"/>
      <c r="F73" s="147" t="s">
        <v>74</v>
      </c>
      <c r="G73" s="207">
        <f>STDEV(G60:G71)/G72</f>
        <v>1.5673444573522759E-2</v>
      </c>
      <c r="H73" s="207">
        <f>STDEV(H60:H71)/H72</f>
        <v>1.5673444573522759E-2</v>
      </c>
    </row>
    <row r="74" spans="1:8" ht="27" customHeight="1" x14ac:dyDescent="0.4">
      <c r="A74" s="144"/>
      <c r="B74" s="144"/>
      <c r="C74" s="145"/>
      <c r="D74" s="145"/>
      <c r="E74" s="148"/>
      <c r="F74" s="149" t="s">
        <v>17</v>
      </c>
      <c r="G74" s="150">
        <f>COUNT(G60:G71)</f>
        <v>9</v>
      </c>
      <c r="H74" s="150">
        <f>COUNT(H60:H71)</f>
        <v>9</v>
      </c>
    </row>
    <row r="76" spans="1:8" ht="26.25" customHeight="1" x14ac:dyDescent="0.4">
      <c r="A76" s="62" t="s">
        <v>96</v>
      </c>
      <c r="B76" s="151" t="s">
        <v>97</v>
      </c>
      <c r="C76" s="434" t="str">
        <f>B26</f>
        <v>Emtricitabine</v>
      </c>
      <c r="D76" s="434"/>
      <c r="E76" s="152" t="s">
        <v>98</v>
      </c>
      <c r="F76" s="152"/>
      <c r="G76" s="153">
        <f>H72</f>
        <v>101.4324272229693</v>
      </c>
      <c r="H76" s="154"/>
    </row>
    <row r="77" spans="1:8" ht="18.75" x14ac:dyDescent="0.3">
      <c r="A77" s="61" t="s">
        <v>99</v>
      </c>
      <c r="B77" s="61" t="s">
        <v>100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468" t="str">
        <f>B26</f>
        <v>Emtricitabine</v>
      </c>
      <c r="C79" s="468"/>
    </row>
    <row r="80" spans="1:8" ht="26.25" customHeight="1" x14ac:dyDescent="0.4">
      <c r="A80" s="63" t="s">
        <v>38</v>
      </c>
      <c r="B80" s="468" t="str">
        <f>B27</f>
        <v>E11 3</v>
      </c>
      <c r="C80" s="468"/>
    </row>
    <row r="81" spans="1:12" ht="27" customHeight="1" x14ac:dyDescent="0.4">
      <c r="A81" s="63" t="s">
        <v>6</v>
      </c>
      <c r="B81" s="155">
        <f>B28</f>
        <v>99.8</v>
      </c>
    </row>
    <row r="82" spans="1:12" s="14" customFormat="1" ht="27" customHeight="1" x14ac:dyDescent="0.4">
      <c r="A82" s="63" t="s">
        <v>39</v>
      </c>
      <c r="B82" s="65">
        <v>0</v>
      </c>
      <c r="C82" s="436" t="s">
        <v>40</v>
      </c>
      <c r="D82" s="437"/>
      <c r="E82" s="437"/>
      <c r="F82" s="437"/>
      <c r="G82" s="438"/>
      <c r="I82" s="66"/>
      <c r="J82" s="66"/>
      <c r="K82" s="66"/>
      <c r="L82" s="66"/>
    </row>
    <row r="83" spans="1:12" s="14" customFormat="1" ht="19.5" customHeight="1" x14ac:dyDescent="0.3">
      <c r="A83" s="63" t="s">
        <v>41</v>
      </c>
      <c r="B83" s="67">
        <f>B81-B82</f>
        <v>99.8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42</v>
      </c>
      <c r="B84" s="70">
        <v>1</v>
      </c>
      <c r="C84" s="439" t="s">
        <v>101</v>
      </c>
      <c r="D84" s="440"/>
      <c r="E84" s="440"/>
      <c r="F84" s="440"/>
      <c r="G84" s="440"/>
      <c r="H84" s="441"/>
      <c r="I84" s="66"/>
      <c r="J84" s="66"/>
      <c r="K84" s="66"/>
      <c r="L84" s="66"/>
    </row>
    <row r="85" spans="1:12" s="14" customFormat="1" ht="27" customHeight="1" x14ac:dyDescent="0.4">
      <c r="A85" s="63" t="s">
        <v>44</v>
      </c>
      <c r="B85" s="70">
        <v>1</v>
      </c>
      <c r="C85" s="439" t="s">
        <v>102</v>
      </c>
      <c r="D85" s="440"/>
      <c r="E85" s="440"/>
      <c r="F85" s="440"/>
      <c r="G85" s="440"/>
      <c r="H85" s="441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46</v>
      </c>
      <c r="B87" s="75">
        <f>B84/B85</f>
        <v>1</v>
      </c>
      <c r="C87" s="53" t="s">
        <v>47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48</v>
      </c>
      <c r="B89" s="77">
        <v>25</v>
      </c>
      <c r="D89" s="156" t="s">
        <v>49</v>
      </c>
      <c r="E89" s="157"/>
      <c r="F89" s="442" t="s">
        <v>50</v>
      </c>
      <c r="G89" s="443"/>
    </row>
    <row r="90" spans="1:12" ht="27" customHeight="1" x14ac:dyDescent="0.4">
      <c r="A90" s="78" t="s">
        <v>51</v>
      </c>
      <c r="B90" s="79">
        <v>4</v>
      </c>
      <c r="C90" s="158" t="s">
        <v>52</v>
      </c>
      <c r="D90" s="81" t="s">
        <v>53</v>
      </c>
      <c r="E90" s="82" t="s">
        <v>54</v>
      </c>
      <c r="F90" s="81" t="s">
        <v>53</v>
      </c>
      <c r="G90" s="159" t="s">
        <v>54</v>
      </c>
      <c r="I90" s="84" t="s">
        <v>55</v>
      </c>
    </row>
    <row r="91" spans="1:12" ht="26.25" customHeight="1" x14ac:dyDescent="0.4">
      <c r="A91" s="78" t="s">
        <v>56</v>
      </c>
      <c r="B91" s="79">
        <v>10</v>
      </c>
      <c r="C91" s="160">
        <v>1</v>
      </c>
      <c r="D91" s="273">
        <v>5195259</v>
      </c>
      <c r="E91" s="87">
        <f>IF(ISBLANK(D91),"-",$D$101/$D$98*D91)</f>
        <v>8300915.838565764</v>
      </c>
      <c r="F91" s="86">
        <v>4806792</v>
      </c>
      <c r="G91" s="88">
        <f>IF(ISBLANK(F91),"-",$D$101/$F$98*F91)</f>
        <v>8320247.4600943187</v>
      </c>
      <c r="I91" s="89"/>
    </row>
    <row r="92" spans="1:12" ht="26.25" customHeight="1" x14ac:dyDescent="0.4">
      <c r="A92" s="78" t="s">
        <v>57</v>
      </c>
      <c r="B92" s="79">
        <v>1</v>
      </c>
      <c r="C92" s="145">
        <v>2</v>
      </c>
      <c r="D92" s="278">
        <v>5197101</v>
      </c>
      <c r="E92" s="92">
        <f>IF(ISBLANK(D92),"-",$D$101/$D$98*D92)</f>
        <v>8303858.9617045028</v>
      </c>
      <c r="F92" s="91">
        <v>4813337</v>
      </c>
      <c r="G92" s="93">
        <f>IF(ISBLANK(F92),"-",$D$101/$F$98*F92)</f>
        <v>8331576.4336855039</v>
      </c>
      <c r="I92" s="444">
        <f>ABS((F96/D96*D95)-F95)/D95</f>
        <v>3.141173061240482E-3</v>
      </c>
    </row>
    <row r="93" spans="1:12" ht="26.25" customHeight="1" x14ac:dyDescent="0.4">
      <c r="A93" s="78" t="s">
        <v>58</v>
      </c>
      <c r="B93" s="79">
        <v>1</v>
      </c>
      <c r="C93" s="145">
        <v>3</v>
      </c>
      <c r="D93" s="278">
        <v>5197994</v>
      </c>
      <c r="E93" s="92">
        <f>IF(ISBLANK(D93),"-",$D$101/$D$98*D93)</f>
        <v>8305285.7852457045</v>
      </c>
      <c r="F93" s="91">
        <v>4819939</v>
      </c>
      <c r="G93" s="93">
        <f>IF(ISBLANK(F93),"-",$D$101/$F$98*F93)</f>
        <v>8343004.0706066648</v>
      </c>
      <c r="I93" s="444"/>
    </row>
    <row r="94" spans="1:12" ht="27" customHeight="1" x14ac:dyDescent="0.4">
      <c r="A94" s="78" t="s">
        <v>59</v>
      </c>
      <c r="B94" s="79">
        <v>1</v>
      </c>
      <c r="C94" s="161">
        <v>4</v>
      </c>
      <c r="D94" s="283"/>
      <c r="E94" s="97" t="str">
        <f>IF(ISBLANK(D94),"-",$D$101/$D$98*D94)</f>
        <v>-</v>
      </c>
      <c r="F94" s="162"/>
      <c r="G94" s="98" t="str">
        <f>IF(ISBLANK(F94),"-",$D$101/$F$98*F94)</f>
        <v>-</v>
      </c>
      <c r="I94" s="99"/>
    </row>
    <row r="95" spans="1:12" ht="27" customHeight="1" x14ac:dyDescent="0.4">
      <c r="A95" s="78" t="s">
        <v>60</v>
      </c>
      <c r="B95" s="79">
        <v>1</v>
      </c>
      <c r="C95" s="163" t="s">
        <v>61</v>
      </c>
      <c r="D95" s="164">
        <f>AVERAGE(D91:D94)</f>
        <v>5196784.666666667</v>
      </c>
      <c r="E95" s="102">
        <f>AVERAGE(E91:E94)</f>
        <v>8303353.5285053244</v>
      </c>
      <c r="F95" s="165">
        <f>AVERAGE(F91:F94)</f>
        <v>4813356</v>
      </c>
      <c r="G95" s="166">
        <f>AVERAGE(G91:G94)</f>
        <v>8331609.3214621618</v>
      </c>
    </row>
    <row r="96" spans="1:12" ht="26.25" customHeight="1" x14ac:dyDescent="0.4">
      <c r="A96" s="78" t="s">
        <v>62</v>
      </c>
      <c r="B96" s="64">
        <v>1</v>
      </c>
      <c r="C96" s="167" t="s">
        <v>103</v>
      </c>
      <c r="D96" s="168">
        <f>D43</f>
        <v>8.7100000000000009</v>
      </c>
      <c r="E96" s="94"/>
      <c r="F96" s="106">
        <f>F43</f>
        <v>8.0399999999999991</v>
      </c>
    </row>
    <row r="97" spans="1:10" ht="26.25" customHeight="1" x14ac:dyDescent="0.4">
      <c r="A97" s="78" t="s">
        <v>64</v>
      </c>
      <c r="B97" s="64">
        <v>1</v>
      </c>
      <c r="C97" s="169" t="s">
        <v>104</v>
      </c>
      <c r="D97" s="170">
        <f>D96*$B$87</f>
        <v>8.7100000000000009</v>
      </c>
      <c r="E97" s="109"/>
      <c r="F97" s="108">
        <f>F96*$B$87</f>
        <v>8.0399999999999991</v>
      </c>
    </row>
    <row r="98" spans="1:10" ht="19.5" customHeight="1" x14ac:dyDescent="0.3">
      <c r="A98" s="78" t="s">
        <v>66</v>
      </c>
      <c r="B98" s="171">
        <f>(B97/B96)*(B95/B94)*(B93/B92)*(B91/B90)*B89</f>
        <v>62.5</v>
      </c>
      <c r="C98" s="169" t="s">
        <v>105</v>
      </c>
      <c r="D98" s="172">
        <f>D97*$B$83/100</f>
        <v>8.6925799999999995</v>
      </c>
      <c r="E98" s="112"/>
      <c r="F98" s="111">
        <f>F97*$B$83/100</f>
        <v>8.0239199999999986</v>
      </c>
    </row>
    <row r="99" spans="1:10" ht="19.5" customHeight="1" x14ac:dyDescent="0.3">
      <c r="A99" s="430" t="s">
        <v>68</v>
      </c>
      <c r="B99" s="445"/>
      <c r="C99" s="169" t="s">
        <v>106</v>
      </c>
      <c r="D99" s="173">
        <f>D98/$B$98</f>
        <v>0.13908128</v>
      </c>
      <c r="E99" s="112"/>
      <c r="F99" s="115">
        <f>F98/$B$98</f>
        <v>0.12838271999999998</v>
      </c>
      <c r="G99" s="174"/>
      <c r="H99" s="104"/>
    </row>
    <row r="100" spans="1:10" ht="19.5" customHeight="1" x14ac:dyDescent="0.3">
      <c r="A100" s="432"/>
      <c r="B100" s="446"/>
      <c r="C100" s="169" t="s">
        <v>70</v>
      </c>
      <c r="D100" s="175">
        <f>$B$56/$B$116</f>
        <v>0.22222222222222221</v>
      </c>
      <c r="F100" s="120"/>
      <c r="G100" s="176"/>
      <c r="H100" s="104"/>
    </row>
    <row r="101" spans="1:10" ht="18.75" x14ac:dyDescent="0.3">
      <c r="C101" s="169" t="s">
        <v>71</v>
      </c>
      <c r="D101" s="170">
        <f>D100*$B$98</f>
        <v>13.888888888888888</v>
      </c>
      <c r="F101" s="120"/>
      <c r="G101" s="174"/>
      <c r="H101" s="104"/>
    </row>
    <row r="102" spans="1:10" ht="19.5" customHeight="1" x14ac:dyDescent="0.3">
      <c r="C102" s="177" t="s">
        <v>72</v>
      </c>
      <c r="D102" s="178">
        <f>D101/B34</f>
        <v>13.888888888888888</v>
      </c>
      <c r="F102" s="124"/>
      <c r="G102" s="174"/>
      <c r="H102" s="104"/>
      <c r="J102" s="179"/>
    </row>
    <row r="103" spans="1:10" ht="18.75" x14ac:dyDescent="0.3">
      <c r="C103" s="180" t="s">
        <v>107</v>
      </c>
      <c r="D103" s="181">
        <f>AVERAGE(E91:E94,G91:G94)</f>
        <v>8317481.4249837426</v>
      </c>
      <c r="F103" s="124"/>
      <c r="G103" s="182"/>
      <c r="H103" s="104"/>
      <c r="J103" s="183"/>
    </row>
    <row r="104" spans="1:10" ht="18.75" x14ac:dyDescent="0.3">
      <c r="C104" s="147" t="s">
        <v>74</v>
      </c>
      <c r="D104" s="184">
        <f>STDEV(E91:E94,G91:G94)/D103</f>
        <v>2.0590017055981797E-3</v>
      </c>
      <c r="F104" s="124"/>
      <c r="G104" s="174"/>
      <c r="H104" s="104"/>
      <c r="J104" s="183"/>
    </row>
    <row r="105" spans="1:10" ht="19.5" customHeight="1" x14ac:dyDescent="0.3">
      <c r="C105" s="149" t="s">
        <v>17</v>
      </c>
      <c r="D105" s="185">
        <f>COUNT(E91:E94,G91:G94)</f>
        <v>6</v>
      </c>
      <c r="F105" s="124"/>
      <c r="G105" s="174"/>
      <c r="H105" s="104"/>
      <c r="J105" s="183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7" customHeight="1" x14ac:dyDescent="0.4">
      <c r="A107" s="76" t="s">
        <v>108</v>
      </c>
      <c r="B107" s="77">
        <v>900</v>
      </c>
      <c r="C107" s="224" t="s">
        <v>109</v>
      </c>
      <c r="D107" s="224" t="s">
        <v>53</v>
      </c>
      <c r="E107" s="224" t="s">
        <v>110</v>
      </c>
      <c r="F107" s="186" t="s">
        <v>111</v>
      </c>
    </row>
    <row r="108" spans="1:10" ht="26.25" customHeight="1" x14ac:dyDescent="0.4">
      <c r="A108" s="78" t="s">
        <v>112</v>
      </c>
      <c r="B108" s="79">
        <v>1</v>
      </c>
      <c r="C108" s="229">
        <v>1</v>
      </c>
      <c r="D108" s="230">
        <v>7445434</v>
      </c>
      <c r="E108" s="204">
        <f t="shared" ref="E108:E113" si="1">IF(ISBLANK(D108),"-",D108/$D$103*$D$100*$B$116)</f>
        <v>179.03097391082068</v>
      </c>
      <c r="F108" s="231">
        <f t="shared" ref="F108:F113" si="2">IF(ISBLANK(D108), "-", (E108/$B$56)*100)</f>
        <v>89.515486955410339</v>
      </c>
    </row>
    <row r="109" spans="1:10" ht="26.25" customHeight="1" x14ac:dyDescent="0.4">
      <c r="A109" s="78" t="s">
        <v>85</v>
      </c>
      <c r="B109" s="79">
        <v>1</v>
      </c>
      <c r="C109" s="225">
        <v>2</v>
      </c>
      <c r="D109" s="227">
        <v>7453276</v>
      </c>
      <c r="E109" s="205">
        <f t="shared" si="1"/>
        <v>179.21954060786058</v>
      </c>
      <c r="F109" s="232">
        <f t="shared" si="2"/>
        <v>89.60977030393029</v>
      </c>
    </row>
    <row r="110" spans="1:10" ht="26.25" customHeight="1" x14ac:dyDescent="0.4">
      <c r="A110" s="78" t="s">
        <v>86</v>
      </c>
      <c r="B110" s="79">
        <v>1</v>
      </c>
      <c r="C110" s="225">
        <v>3</v>
      </c>
      <c r="D110" s="227">
        <v>7450397</v>
      </c>
      <c r="E110" s="205">
        <f t="shared" si="1"/>
        <v>179.15031292094679</v>
      </c>
      <c r="F110" s="232">
        <f t="shared" si="2"/>
        <v>89.575156460473394</v>
      </c>
    </row>
    <row r="111" spans="1:10" ht="26.25" customHeight="1" x14ac:dyDescent="0.4">
      <c r="A111" s="78" t="s">
        <v>87</v>
      </c>
      <c r="B111" s="79">
        <v>1</v>
      </c>
      <c r="C111" s="225">
        <v>4</v>
      </c>
      <c r="D111" s="227">
        <v>7492152</v>
      </c>
      <c r="E111" s="205">
        <f t="shared" si="1"/>
        <v>180.15434281573147</v>
      </c>
      <c r="F111" s="232">
        <f t="shared" si="2"/>
        <v>90.077171407865734</v>
      </c>
    </row>
    <row r="112" spans="1:10" ht="26.25" customHeight="1" x14ac:dyDescent="0.4">
      <c r="A112" s="78" t="s">
        <v>88</v>
      </c>
      <c r="B112" s="79">
        <v>1</v>
      </c>
      <c r="C112" s="225">
        <v>5</v>
      </c>
      <c r="D112" s="227">
        <v>7508163</v>
      </c>
      <c r="E112" s="205">
        <f t="shared" si="1"/>
        <v>180.53933916695641</v>
      </c>
      <c r="F112" s="232">
        <f t="shared" si="2"/>
        <v>90.269669583478205</v>
      </c>
    </row>
    <row r="113" spans="1:10" ht="27" customHeight="1" x14ac:dyDescent="0.4">
      <c r="A113" s="78" t="s">
        <v>90</v>
      </c>
      <c r="B113" s="79">
        <v>1</v>
      </c>
      <c r="C113" s="226">
        <v>6</v>
      </c>
      <c r="D113" s="228">
        <v>7488124</v>
      </c>
      <c r="E113" s="206">
        <f t="shared" si="1"/>
        <v>180.0574865729775</v>
      </c>
      <c r="F113" s="233">
        <f t="shared" si="2"/>
        <v>90.028743286488748</v>
      </c>
    </row>
    <row r="114" spans="1:10" ht="27" customHeight="1" x14ac:dyDescent="0.4">
      <c r="A114" s="78" t="s">
        <v>91</v>
      </c>
      <c r="B114" s="79">
        <v>1</v>
      </c>
      <c r="C114" s="187"/>
      <c r="D114" s="145"/>
      <c r="E114" s="52"/>
      <c r="F114" s="234"/>
    </row>
    <row r="115" spans="1:10" ht="26.25" customHeight="1" x14ac:dyDescent="0.4">
      <c r="A115" s="78" t="s">
        <v>92</v>
      </c>
      <c r="B115" s="79">
        <v>1</v>
      </c>
      <c r="C115" s="187"/>
      <c r="D115" s="211" t="s">
        <v>61</v>
      </c>
      <c r="E115" s="213">
        <f>AVERAGE(E108:E113)</f>
        <v>179.6919993325489</v>
      </c>
      <c r="F115" s="235">
        <f>AVERAGE(F108:F113)</f>
        <v>89.845999666274452</v>
      </c>
    </row>
    <row r="116" spans="1:10" ht="27" customHeight="1" x14ac:dyDescent="0.4">
      <c r="A116" s="78" t="s">
        <v>93</v>
      </c>
      <c r="B116" s="110">
        <f>(B115/B114)*(B113/B112)*(B111/B110)*(B109/B108)*B107</f>
        <v>900</v>
      </c>
      <c r="C116" s="188"/>
      <c r="D116" s="212" t="s">
        <v>74</v>
      </c>
      <c r="E116" s="210">
        <f>STDEV(E108:E113)/E115</f>
        <v>3.5362760551022358E-3</v>
      </c>
      <c r="F116" s="189">
        <f>STDEV(F108:F113)/F115</f>
        <v>3.5362760551022358E-3</v>
      </c>
      <c r="I116" s="52"/>
    </row>
    <row r="117" spans="1:10" ht="27" customHeight="1" x14ac:dyDescent="0.4">
      <c r="A117" s="430" t="s">
        <v>68</v>
      </c>
      <c r="B117" s="431"/>
      <c r="C117" s="190"/>
      <c r="D117" s="149" t="s">
        <v>17</v>
      </c>
      <c r="E117" s="215">
        <f>COUNT(E108:E113)</f>
        <v>6</v>
      </c>
      <c r="F117" s="216">
        <f>COUNT(F108:F113)</f>
        <v>6</v>
      </c>
      <c r="I117" s="52"/>
      <c r="J117" s="183"/>
    </row>
    <row r="118" spans="1:10" ht="26.25" customHeight="1" x14ac:dyDescent="0.3">
      <c r="A118" s="432"/>
      <c r="B118" s="433"/>
      <c r="C118" s="52"/>
      <c r="D118" s="214"/>
      <c r="E118" s="458" t="s">
        <v>113</v>
      </c>
      <c r="F118" s="459"/>
      <c r="G118" s="52"/>
      <c r="H118" s="52"/>
      <c r="I118" s="52"/>
    </row>
    <row r="119" spans="1:10" ht="25.5" customHeight="1" x14ac:dyDescent="0.4">
      <c r="A119" s="199"/>
      <c r="B119" s="74"/>
      <c r="C119" s="52"/>
      <c r="D119" s="212" t="s">
        <v>114</v>
      </c>
      <c r="E119" s="217">
        <f>MIN(E108:E113)</f>
        <v>179.03097391082068</v>
      </c>
      <c r="F119" s="236">
        <f>MIN(F108:F113)</f>
        <v>89.515486955410339</v>
      </c>
      <c r="G119" s="52"/>
      <c r="H119" s="52"/>
      <c r="I119" s="52"/>
    </row>
    <row r="120" spans="1:10" ht="24" customHeight="1" x14ac:dyDescent="0.4">
      <c r="A120" s="199"/>
      <c r="B120" s="74"/>
      <c r="C120" s="52"/>
      <c r="D120" s="121" t="s">
        <v>115</v>
      </c>
      <c r="E120" s="218">
        <f>MAX(E108:E113)</f>
        <v>180.53933916695641</v>
      </c>
      <c r="F120" s="237">
        <f>MAX(F108:F113)</f>
        <v>90.269669583478205</v>
      </c>
      <c r="G120" s="52"/>
      <c r="H120" s="52"/>
      <c r="I120" s="52"/>
    </row>
    <row r="121" spans="1:10" ht="27" customHeight="1" x14ac:dyDescent="0.3">
      <c r="A121" s="199"/>
      <c r="B121" s="74"/>
      <c r="C121" s="52"/>
      <c r="D121" s="52"/>
      <c r="E121" s="52"/>
      <c r="F121" s="145"/>
      <c r="G121" s="52"/>
      <c r="H121" s="52"/>
      <c r="I121" s="52"/>
    </row>
    <row r="122" spans="1:10" ht="25.5" customHeight="1" x14ac:dyDescent="0.3">
      <c r="A122" s="199"/>
      <c r="B122" s="74"/>
      <c r="C122" s="52"/>
      <c r="D122" s="52"/>
      <c r="E122" s="52"/>
      <c r="F122" s="145"/>
      <c r="G122" s="52"/>
      <c r="H122" s="52"/>
      <c r="I122" s="52"/>
    </row>
    <row r="123" spans="1:10" ht="18.75" x14ac:dyDescent="0.3">
      <c r="A123" s="199"/>
      <c r="B123" s="74"/>
      <c r="C123" s="52"/>
      <c r="D123" s="52"/>
      <c r="E123" s="52"/>
      <c r="F123" s="145"/>
      <c r="G123" s="52"/>
      <c r="H123" s="52"/>
      <c r="I123" s="52"/>
    </row>
    <row r="124" spans="1:10" ht="45.75" customHeight="1" x14ac:dyDescent="0.65">
      <c r="A124" s="62" t="s">
        <v>96</v>
      </c>
      <c r="B124" s="151" t="s">
        <v>116</v>
      </c>
      <c r="C124" s="434" t="str">
        <f>B26</f>
        <v>Emtricitabine</v>
      </c>
      <c r="D124" s="434"/>
      <c r="E124" s="152" t="s">
        <v>117</v>
      </c>
      <c r="F124" s="152"/>
      <c r="G124" s="238">
        <f>F115</f>
        <v>89.845999666274452</v>
      </c>
      <c r="H124" s="52"/>
      <c r="I124" s="52"/>
    </row>
    <row r="125" spans="1:10" ht="45.75" customHeight="1" x14ac:dyDescent="0.65">
      <c r="A125" s="62"/>
      <c r="B125" s="151" t="s">
        <v>118</v>
      </c>
      <c r="C125" s="63" t="s">
        <v>119</v>
      </c>
      <c r="D125" s="238">
        <f>MIN(F108:F113)</f>
        <v>89.515486955410339</v>
      </c>
      <c r="E125" s="163" t="s">
        <v>120</v>
      </c>
      <c r="F125" s="238">
        <f>MAX(F108:F113)</f>
        <v>90.269669583478205</v>
      </c>
      <c r="G125" s="153"/>
      <c r="H125" s="52"/>
      <c r="I125" s="52"/>
    </row>
    <row r="126" spans="1:10" ht="19.5" customHeight="1" x14ac:dyDescent="0.3">
      <c r="A126" s="191"/>
      <c r="B126" s="191"/>
      <c r="C126" s="192"/>
      <c r="D126" s="192"/>
      <c r="E126" s="192"/>
      <c r="F126" s="192"/>
      <c r="G126" s="192"/>
      <c r="H126" s="192"/>
    </row>
    <row r="127" spans="1:10" ht="18.75" x14ac:dyDescent="0.3">
      <c r="B127" s="435" t="s">
        <v>23</v>
      </c>
      <c r="C127" s="435"/>
      <c r="E127" s="158" t="s">
        <v>24</v>
      </c>
      <c r="F127" s="193"/>
      <c r="G127" s="435" t="s">
        <v>25</v>
      </c>
      <c r="H127" s="435"/>
    </row>
    <row r="128" spans="1:10" ht="69.95" customHeight="1" x14ac:dyDescent="0.3">
      <c r="A128" s="194" t="s">
        <v>26</v>
      </c>
      <c r="B128" s="195"/>
      <c r="C128" s="195"/>
      <c r="E128" s="195"/>
      <c r="F128" s="52"/>
      <c r="G128" s="196"/>
      <c r="H128" s="196"/>
    </row>
    <row r="129" spans="1:9" ht="69.95" customHeight="1" x14ac:dyDescent="0.3">
      <c r="A129" s="194" t="s">
        <v>27</v>
      </c>
      <c r="B129" s="197"/>
      <c r="C129" s="197"/>
      <c r="E129" s="197"/>
      <c r="F129" s="52"/>
      <c r="G129" s="198"/>
      <c r="H129" s="198"/>
    </row>
    <row r="130" spans="1:9" ht="18.75" x14ac:dyDescent="0.3">
      <c r="A130" s="144"/>
      <c r="B130" s="144"/>
      <c r="C130" s="145"/>
      <c r="D130" s="145"/>
      <c r="E130" s="145"/>
      <c r="F130" s="148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8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8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8"/>
      <c r="G133" s="145"/>
      <c r="H133" s="145"/>
      <c r="I133" s="52"/>
    </row>
    <row r="134" spans="1:9" ht="18.75" x14ac:dyDescent="0.3">
      <c r="A134" s="144"/>
      <c r="B134" s="144"/>
      <c r="C134" s="145"/>
      <c r="D134" s="145"/>
      <c r="E134" s="145"/>
      <c r="F134" s="148"/>
      <c r="G134" s="145"/>
      <c r="H134" s="145"/>
      <c r="I134" s="52"/>
    </row>
    <row r="135" spans="1:9" ht="18.75" x14ac:dyDescent="0.3">
      <c r="A135" s="144"/>
      <c r="B135" s="144"/>
      <c r="C135" s="145"/>
      <c r="D135" s="145"/>
      <c r="E135" s="145"/>
      <c r="F135" s="148"/>
      <c r="G135" s="145"/>
      <c r="H135" s="145"/>
      <c r="I135" s="52"/>
    </row>
    <row r="136" spans="1:9" ht="18.75" x14ac:dyDescent="0.3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.75" x14ac:dyDescent="0.3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.75" x14ac:dyDescent="0.3">
      <c r="A138" s="144"/>
      <c r="B138" s="144"/>
      <c r="C138" s="145"/>
      <c r="D138" s="145"/>
      <c r="E138" s="145"/>
      <c r="F138" s="148"/>
      <c r="G138" s="145"/>
      <c r="H138" s="145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view="pageBreakPreview" zoomScale="60" zoomScaleNormal="100" workbookViewId="0">
      <selection activeCell="E51" sqref="E51"/>
    </sheetView>
  </sheetViews>
  <sheetFormatPr defaultRowHeight="13.5" x14ac:dyDescent="0.25"/>
  <cols>
    <col min="1" max="1" width="27.5703125" style="361" customWidth="1"/>
    <col min="2" max="2" width="20.42578125" style="361" customWidth="1"/>
    <col min="3" max="3" width="31.85546875" style="361" customWidth="1"/>
    <col min="4" max="4" width="25.85546875" style="361" customWidth="1"/>
    <col min="5" max="5" width="25.7109375" style="361" customWidth="1"/>
    <col min="6" max="6" width="23.140625" style="361" customWidth="1"/>
    <col min="7" max="7" width="28.42578125" style="361" customWidth="1"/>
    <col min="8" max="8" width="21.5703125" style="361" customWidth="1"/>
    <col min="9" max="9" width="9.140625" style="361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26" t="s">
        <v>0</v>
      </c>
      <c r="B15" s="426"/>
      <c r="C15" s="426"/>
      <c r="D15" s="426"/>
      <c r="E15" s="426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6"/>
    </row>
    <row r="18" spans="1:5" ht="16.5" customHeight="1" x14ac:dyDescent="0.3">
      <c r="A18" s="11" t="s">
        <v>4</v>
      </c>
      <c r="B18" s="521" t="str">
        <f>TDF!B26</f>
        <v>Tenofovir DF</v>
      </c>
      <c r="C18" s="36"/>
      <c r="D18" s="36"/>
      <c r="E18" s="36"/>
    </row>
    <row r="19" spans="1:5" ht="16.5" customHeight="1" x14ac:dyDescent="0.3">
      <c r="A19" s="11" t="s">
        <v>6</v>
      </c>
      <c r="B19" s="12">
        <f>TDF!B28</f>
        <v>98.8</v>
      </c>
      <c r="C19" s="36"/>
      <c r="D19" s="36"/>
      <c r="E19" s="36"/>
    </row>
    <row r="20" spans="1:5" ht="16.5" customHeight="1" x14ac:dyDescent="0.3">
      <c r="A20" s="8" t="s">
        <v>8</v>
      </c>
      <c r="B20" s="12">
        <f>TDF!D43</f>
        <v>15.65</v>
      </c>
      <c r="C20" s="36"/>
      <c r="D20" s="36"/>
      <c r="E20" s="36"/>
    </row>
    <row r="21" spans="1:5" ht="16.5" customHeight="1" x14ac:dyDescent="0.3">
      <c r="A21" s="8" t="s">
        <v>9</v>
      </c>
      <c r="B21" s="13"/>
      <c r="C21" s="36"/>
      <c r="D21" s="36"/>
      <c r="E21" s="36"/>
    </row>
    <row r="22" spans="1:5" ht="15.75" customHeight="1" x14ac:dyDescent="0.25">
      <c r="A22" s="36"/>
      <c r="B22" s="36"/>
      <c r="C22" s="36"/>
      <c r="D22" s="36"/>
      <c r="E22" s="36"/>
    </row>
    <row r="23" spans="1:5" ht="16.5" customHeight="1" x14ac:dyDescent="0.3">
      <c r="A23" s="16" t="s">
        <v>10</v>
      </c>
      <c r="B23" s="15" t="s">
        <v>11</v>
      </c>
      <c r="C23" s="16" t="s">
        <v>12</v>
      </c>
      <c r="D23" s="16" t="s">
        <v>13</v>
      </c>
      <c r="E23" s="16" t="s">
        <v>14</v>
      </c>
    </row>
    <row r="24" spans="1:5" ht="16.5" customHeight="1" x14ac:dyDescent="0.3">
      <c r="A24" s="17">
        <v>1</v>
      </c>
      <c r="B24" s="18">
        <v>2109068</v>
      </c>
      <c r="C24" s="18">
        <v>53686.1</v>
      </c>
      <c r="D24" s="19">
        <v>1.1000000000000001</v>
      </c>
      <c r="E24" s="20">
        <v>5.7</v>
      </c>
    </row>
    <row r="25" spans="1:5" ht="16.5" customHeight="1" x14ac:dyDescent="0.3">
      <c r="A25" s="17">
        <v>2</v>
      </c>
      <c r="B25" s="18">
        <v>2130492</v>
      </c>
      <c r="C25" s="18">
        <v>53725.4</v>
      </c>
      <c r="D25" s="19">
        <v>1</v>
      </c>
      <c r="E25" s="19">
        <v>5.7</v>
      </c>
    </row>
    <row r="26" spans="1:5" ht="16.5" customHeight="1" x14ac:dyDescent="0.3">
      <c r="A26" s="17">
        <v>3</v>
      </c>
      <c r="B26" s="18">
        <v>2110335</v>
      </c>
      <c r="C26" s="18">
        <v>54174</v>
      </c>
      <c r="D26" s="19">
        <v>1</v>
      </c>
      <c r="E26" s="19">
        <v>5.7</v>
      </c>
    </row>
    <row r="27" spans="1:5" ht="16.5" customHeight="1" x14ac:dyDescent="0.3">
      <c r="A27" s="17">
        <v>4</v>
      </c>
      <c r="B27" s="18">
        <v>2167007</v>
      </c>
      <c r="C27" s="18">
        <v>54161.2</v>
      </c>
      <c r="D27" s="19">
        <v>1</v>
      </c>
      <c r="E27" s="19">
        <v>5.7</v>
      </c>
    </row>
    <row r="28" spans="1:5" ht="16.5" customHeight="1" x14ac:dyDescent="0.3">
      <c r="A28" s="17">
        <v>5</v>
      </c>
      <c r="B28" s="18">
        <v>2192207</v>
      </c>
      <c r="C28" s="18">
        <v>53682.400000000001</v>
      </c>
      <c r="D28" s="19">
        <v>1</v>
      </c>
      <c r="E28" s="19">
        <v>5.7</v>
      </c>
    </row>
    <row r="29" spans="1:5" ht="16.5" customHeight="1" x14ac:dyDescent="0.3">
      <c r="A29" s="17">
        <v>6</v>
      </c>
      <c r="B29" s="21">
        <v>2150896</v>
      </c>
      <c r="C29" s="21">
        <v>54393.2</v>
      </c>
      <c r="D29" s="22">
        <v>1.1000000000000001</v>
      </c>
      <c r="E29" s="22">
        <v>5.7</v>
      </c>
    </row>
    <row r="30" spans="1:5" ht="16.5" customHeight="1" x14ac:dyDescent="0.3">
      <c r="A30" s="23" t="s">
        <v>15</v>
      </c>
      <c r="B30" s="24">
        <f>AVERAGE(B24:B29)</f>
        <v>2143334.1666666665</v>
      </c>
      <c r="C30" s="25">
        <f>AVERAGE(C24:C29)</f>
        <v>53970.383333333339</v>
      </c>
      <c r="D30" s="26">
        <f>AVERAGE(D24:D29)</f>
        <v>1.0333333333333332</v>
      </c>
      <c r="E30" s="26">
        <f>AVERAGE(E24:E29)</f>
        <v>5.7</v>
      </c>
    </row>
    <row r="31" spans="1:5" ht="16.5" customHeight="1" x14ac:dyDescent="0.3">
      <c r="A31" s="27" t="s">
        <v>16</v>
      </c>
      <c r="B31" s="28">
        <f>(STDEV(B24:B29)/B30)</f>
        <v>1.5381259730047654E-2</v>
      </c>
      <c r="C31" s="29"/>
      <c r="D31" s="29"/>
      <c r="E31" s="30"/>
    </row>
    <row r="32" spans="1:5" s="361" customFormat="1" ht="16.5" customHeight="1" x14ac:dyDescent="0.3">
      <c r="A32" s="31" t="s">
        <v>17</v>
      </c>
      <c r="B32" s="32">
        <f>COUNT(B24:B29)</f>
        <v>6</v>
      </c>
      <c r="C32" s="33"/>
      <c r="D32" s="34"/>
      <c r="E32" s="35"/>
    </row>
    <row r="33" spans="1:5" s="361" customFormat="1" ht="15.75" customHeight="1" x14ac:dyDescent="0.25">
      <c r="A33" s="36"/>
      <c r="B33" s="36"/>
      <c r="C33" s="36"/>
      <c r="D33" s="36"/>
      <c r="E33" s="36"/>
    </row>
    <row r="34" spans="1:5" s="361" customFormat="1" ht="16.5" customHeight="1" x14ac:dyDescent="0.3">
      <c r="A34" s="11" t="s">
        <v>18</v>
      </c>
      <c r="B34" s="40" t="s">
        <v>19</v>
      </c>
      <c r="C34" s="39"/>
      <c r="D34" s="39"/>
      <c r="E34" s="39"/>
    </row>
    <row r="35" spans="1:5" ht="16.5" customHeight="1" x14ac:dyDescent="0.3">
      <c r="A35" s="11"/>
      <c r="B35" s="40" t="s">
        <v>20</v>
      </c>
      <c r="C35" s="39"/>
      <c r="D35" s="39"/>
      <c r="E35" s="39"/>
    </row>
    <row r="36" spans="1:5" ht="16.5" customHeight="1" x14ac:dyDescent="0.3">
      <c r="A36" s="11"/>
      <c r="B36" s="40" t="s">
        <v>21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22</v>
      </c>
    </row>
    <row r="39" spans="1:5" ht="16.5" customHeight="1" x14ac:dyDescent="0.3">
      <c r="A39" s="11" t="s">
        <v>4</v>
      </c>
      <c r="B39" s="8" t="str">
        <f>B18</f>
        <v>Tenofovir DF</v>
      </c>
      <c r="C39" s="36"/>
      <c r="D39" s="36"/>
      <c r="E39" s="36"/>
    </row>
    <row r="40" spans="1:5" ht="16.5" customHeight="1" x14ac:dyDescent="0.3">
      <c r="A40" s="11" t="s">
        <v>6</v>
      </c>
      <c r="B40" s="12">
        <f>B19</f>
        <v>98.8</v>
      </c>
      <c r="C40" s="36"/>
      <c r="D40" s="36"/>
      <c r="E40" s="36"/>
    </row>
    <row r="41" spans="1:5" ht="16.5" customHeight="1" x14ac:dyDescent="0.3">
      <c r="A41" s="8" t="s">
        <v>8</v>
      </c>
      <c r="B41" s="12">
        <f>B20</f>
        <v>15.65</v>
      </c>
      <c r="C41" s="36"/>
      <c r="D41" s="36"/>
      <c r="E41" s="36"/>
    </row>
    <row r="42" spans="1:5" ht="16.5" customHeight="1" x14ac:dyDescent="0.3">
      <c r="A42" s="8" t="s">
        <v>9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10</v>
      </c>
      <c r="B44" s="15" t="s">
        <v>11</v>
      </c>
      <c r="C44" s="16" t="s">
        <v>12</v>
      </c>
      <c r="D44" s="16" t="s">
        <v>13</v>
      </c>
      <c r="E44" s="16" t="s">
        <v>14</v>
      </c>
    </row>
    <row r="45" spans="1:5" ht="16.5" customHeight="1" x14ac:dyDescent="0.3">
      <c r="A45" s="17">
        <v>1</v>
      </c>
      <c r="B45" s="18">
        <v>8294742</v>
      </c>
      <c r="C45" s="18">
        <v>59724.6</v>
      </c>
      <c r="D45" s="19">
        <v>1</v>
      </c>
      <c r="E45" s="20">
        <v>5.7</v>
      </c>
    </row>
    <row r="46" spans="1:5" ht="16.5" customHeight="1" x14ac:dyDescent="0.3">
      <c r="A46" s="17">
        <v>2</v>
      </c>
      <c r="B46" s="18">
        <v>8297399</v>
      </c>
      <c r="C46" s="18">
        <v>60753.5</v>
      </c>
      <c r="D46" s="19">
        <v>1</v>
      </c>
      <c r="E46" s="19">
        <v>5.7</v>
      </c>
    </row>
    <row r="47" spans="1:5" ht="16.5" customHeight="1" x14ac:dyDescent="0.3">
      <c r="A47" s="17">
        <v>3</v>
      </c>
      <c r="B47" s="18">
        <v>8286235</v>
      </c>
      <c r="C47" s="18">
        <v>60183.199999999997</v>
      </c>
      <c r="D47" s="19">
        <v>1.1000000000000001</v>
      </c>
      <c r="E47" s="19">
        <v>5.7</v>
      </c>
    </row>
    <row r="48" spans="1:5" ht="16.5" customHeight="1" x14ac:dyDescent="0.3">
      <c r="A48" s="17">
        <v>4</v>
      </c>
      <c r="B48" s="18">
        <v>8291573</v>
      </c>
      <c r="C48" s="18">
        <v>60338.3</v>
      </c>
      <c r="D48" s="19">
        <v>1.1000000000000001</v>
      </c>
      <c r="E48" s="19">
        <v>5.7</v>
      </c>
    </row>
    <row r="49" spans="1:7" ht="16.5" customHeight="1" x14ac:dyDescent="0.3">
      <c r="A49" s="17">
        <v>5</v>
      </c>
      <c r="B49" s="18">
        <v>8286962</v>
      </c>
      <c r="C49" s="18">
        <v>59520.6</v>
      </c>
      <c r="D49" s="19">
        <v>1</v>
      </c>
      <c r="E49" s="19">
        <v>5.7</v>
      </c>
    </row>
    <row r="50" spans="1:7" ht="16.5" customHeight="1" x14ac:dyDescent="0.3">
      <c r="A50" s="17">
        <v>6</v>
      </c>
      <c r="B50" s="21">
        <v>8287595</v>
      </c>
      <c r="C50" s="21">
        <v>60367.5</v>
      </c>
      <c r="D50" s="22">
        <v>1</v>
      </c>
      <c r="E50" s="22">
        <v>5.7</v>
      </c>
    </row>
    <row r="51" spans="1:7" ht="16.5" customHeight="1" x14ac:dyDescent="0.3">
      <c r="A51" s="23" t="s">
        <v>15</v>
      </c>
      <c r="B51" s="24">
        <f>AVERAGE(B45:B50)</f>
        <v>8290751</v>
      </c>
      <c r="C51" s="25">
        <f>AVERAGE(C45:C50)</f>
        <v>60147.94999999999</v>
      </c>
      <c r="D51" s="26">
        <f>AVERAGE(D45:D50)</f>
        <v>1.0333333333333334</v>
      </c>
      <c r="E51" s="26">
        <f>AVERAGE(E45:E50)</f>
        <v>5.7</v>
      </c>
    </row>
    <row r="52" spans="1:7" ht="16.5" customHeight="1" x14ac:dyDescent="0.3">
      <c r="A52" s="27" t="s">
        <v>16</v>
      </c>
      <c r="B52" s="28">
        <f>(STDEV(B45:B50)/B51)</f>
        <v>5.5407626516235336E-4</v>
      </c>
      <c r="C52" s="29"/>
      <c r="D52" s="29"/>
      <c r="E52" s="30"/>
    </row>
    <row r="53" spans="1:7" s="361" customFormat="1" ht="16.5" customHeight="1" x14ac:dyDescent="0.3">
      <c r="A53" s="31" t="s">
        <v>17</v>
      </c>
      <c r="B53" s="32">
        <f>COUNT(B45:B50)</f>
        <v>6</v>
      </c>
      <c r="C53" s="33"/>
      <c r="D53" s="34"/>
      <c r="E53" s="35"/>
    </row>
    <row r="54" spans="1:7" s="361" customFormat="1" ht="15.75" customHeight="1" x14ac:dyDescent="0.25">
      <c r="A54" s="36"/>
      <c r="B54" s="36"/>
      <c r="C54" s="36"/>
      <c r="D54" s="36"/>
      <c r="E54" s="36"/>
    </row>
    <row r="55" spans="1:7" s="361" customFormat="1" ht="16.5" customHeight="1" x14ac:dyDescent="0.3">
      <c r="A55" s="11" t="s">
        <v>18</v>
      </c>
      <c r="B55" s="40" t="s">
        <v>19</v>
      </c>
      <c r="C55" s="39"/>
      <c r="D55" s="39"/>
      <c r="E55" s="39"/>
    </row>
    <row r="56" spans="1:7" ht="16.5" customHeight="1" x14ac:dyDescent="0.3">
      <c r="A56" s="11"/>
      <c r="B56" s="40" t="s">
        <v>20</v>
      </c>
      <c r="C56" s="39"/>
      <c r="D56" s="39"/>
      <c r="E56" s="39"/>
    </row>
    <row r="57" spans="1:7" ht="16.5" customHeight="1" x14ac:dyDescent="0.3">
      <c r="A57" s="11"/>
      <c r="B57" s="40" t="s">
        <v>21</v>
      </c>
      <c r="C57" s="39"/>
      <c r="D57" s="39"/>
      <c r="E57" s="39"/>
    </row>
    <row r="58" spans="1:7" ht="14.25" customHeight="1" thickBot="1" x14ac:dyDescent="0.3">
      <c r="A58" s="41"/>
      <c r="B58" s="291"/>
      <c r="D58" s="43"/>
      <c r="F58" s="44"/>
      <c r="G58" s="44"/>
    </row>
    <row r="59" spans="1:7" ht="15" customHeight="1" x14ac:dyDescent="0.3">
      <c r="B59" s="427" t="s">
        <v>23</v>
      </c>
      <c r="C59" s="427"/>
      <c r="E59" s="45" t="s">
        <v>24</v>
      </c>
      <c r="F59" s="46"/>
      <c r="G59" s="45" t="s">
        <v>25</v>
      </c>
    </row>
    <row r="60" spans="1:7" ht="15" customHeight="1" x14ac:dyDescent="0.3">
      <c r="A60" s="47" t="s">
        <v>26</v>
      </c>
      <c r="B60" s="522" t="s">
        <v>142</v>
      </c>
      <c r="C60" s="49"/>
      <c r="E60" s="522" t="s">
        <v>143</v>
      </c>
      <c r="G60" s="49"/>
    </row>
    <row r="61" spans="1:7" ht="15" customHeight="1" x14ac:dyDescent="0.3">
      <c r="A61" s="47" t="s">
        <v>27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5" zoomScaleNormal="40" zoomScalePageLayoutView="55" workbookViewId="0">
      <selection sqref="A1:I13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28" t="s">
        <v>28</v>
      </c>
      <c r="B1" s="428"/>
      <c r="C1" s="428"/>
      <c r="D1" s="428"/>
      <c r="E1" s="428"/>
      <c r="F1" s="428"/>
      <c r="G1" s="428"/>
      <c r="H1" s="428"/>
      <c r="I1" s="428"/>
    </row>
    <row r="2" spans="1:9" ht="18.75" customHeight="1" x14ac:dyDescent="0.25">
      <c r="A2" s="428"/>
      <c r="B2" s="428"/>
      <c r="C2" s="428"/>
      <c r="D2" s="428"/>
      <c r="E2" s="428"/>
      <c r="F2" s="428"/>
      <c r="G2" s="428"/>
      <c r="H2" s="428"/>
      <c r="I2" s="428"/>
    </row>
    <row r="3" spans="1:9" ht="18.75" customHeight="1" x14ac:dyDescent="0.25">
      <c r="A3" s="428"/>
      <c r="B3" s="428"/>
      <c r="C3" s="428"/>
      <c r="D3" s="428"/>
      <c r="E3" s="428"/>
      <c r="F3" s="428"/>
      <c r="G3" s="428"/>
      <c r="H3" s="428"/>
      <c r="I3" s="428"/>
    </row>
    <row r="4" spans="1:9" ht="18.75" customHeight="1" x14ac:dyDescent="0.25">
      <c r="A4" s="428"/>
      <c r="B4" s="428"/>
      <c r="C4" s="428"/>
      <c r="D4" s="428"/>
      <c r="E4" s="428"/>
      <c r="F4" s="428"/>
      <c r="G4" s="428"/>
      <c r="H4" s="428"/>
      <c r="I4" s="428"/>
    </row>
    <row r="5" spans="1:9" ht="18.75" customHeight="1" x14ac:dyDescent="0.25">
      <c r="A5" s="428"/>
      <c r="B5" s="428"/>
      <c r="C5" s="428"/>
      <c r="D5" s="428"/>
      <c r="E5" s="428"/>
      <c r="F5" s="428"/>
      <c r="G5" s="428"/>
      <c r="H5" s="428"/>
      <c r="I5" s="428"/>
    </row>
    <row r="6" spans="1:9" ht="18.75" customHeight="1" x14ac:dyDescent="0.25">
      <c r="A6" s="428"/>
      <c r="B6" s="428"/>
      <c r="C6" s="428"/>
      <c r="D6" s="428"/>
      <c r="E6" s="428"/>
      <c r="F6" s="428"/>
      <c r="G6" s="428"/>
      <c r="H6" s="428"/>
      <c r="I6" s="428"/>
    </row>
    <row r="7" spans="1:9" ht="18.75" customHeight="1" x14ac:dyDescent="0.25">
      <c r="A7" s="428"/>
      <c r="B7" s="428"/>
      <c r="C7" s="428"/>
      <c r="D7" s="428"/>
      <c r="E7" s="428"/>
      <c r="F7" s="428"/>
      <c r="G7" s="428"/>
      <c r="H7" s="428"/>
      <c r="I7" s="428"/>
    </row>
    <row r="8" spans="1:9" x14ac:dyDescent="0.25">
      <c r="A8" s="429" t="s">
        <v>29</v>
      </c>
      <c r="B8" s="429"/>
      <c r="C8" s="429"/>
      <c r="D8" s="429"/>
      <c r="E8" s="429"/>
      <c r="F8" s="429"/>
      <c r="G8" s="429"/>
      <c r="H8" s="429"/>
      <c r="I8" s="429"/>
    </row>
    <row r="9" spans="1:9" x14ac:dyDescent="0.25">
      <c r="A9" s="429"/>
      <c r="B9" s="429"/>
      <c r="C9" s="429"/>
      <c r="D9" s="429"/>
      <c r="E9" s="429"/>
      <c r="F9" s="429"/>
      <c r="G9" s="429"/>
      <c r="H9" s="429"/>
      <c r="I9" s="429"/>
    </row>
    <row r="10" spans="1:9" x14ac:dyDescent="0.25">
      <c r="A10" s="429"/>
      <c r="B10" s="429"/>
      <c r="C10" s="429"/>
      <c r="D10" s="429"/>
      <c r="E10" s="429"/>
      <c r="F10" s="429"/>
      <c r="G10" s="429"/>
      <c r="H10" s="429"/>
      <c r="I10" s="429"/>
    </row>
    <row r="11" spans="1:9" x14ac:dyDescent="0.25">
      <c r="A11" s="429"/>
      <c r="B11" s="429"/>
      <c r="C11" s="429"/>
      <c r="D11" s="429"/>
      <c r="E11" s="429"/>
      <c r="F11" s="429"/>
      <c r="G11" s="429"/>
      <c r="H11" s="429"/>
      <c r="I11" s="429"/>
    </row>
    <row r="12" spans="1:9" x14ac:dyDescent="0.25">
      <c r="A12" s="429"/>
      <c r="B12" s="429"/>
      <c r="C12" s="429"/>
      <c r="D12" s="429"/>
      <c r="E12" s="429"/>
      <c r="F12" s="429"/>
      <c r="G12" s="429"/>
      <c r="H12" s="429"/>
      <c r="I12" s="429"/>
    </row>
    <row r="13" spans="1:9" x14ac:dyDescent="0.25">
      <c r="A13" s="429"/>
      <c r="B13" s="429"/>
      <c r="C13" s="429"/>
      <c r="D13" s="429"/>
      <c r="E13" s="429"/>
      <c r="F13" s="429"/>
      <c r="G13" s="429"/>
      <c r="H13" s="429"/>
      <c r="I13" s="429"/>
    </row>
    <row r="14" spans="1:9" x14ac:dyDescent="0.25">
      <c r="A14" s="429"/>
      <c r="B14" s="429"/>
      <c r="C14" s="429"/>
      <c r="D14" s="429"/>
      <c r="E14" s="429"/>
      <c r="F14" s="429"/>
      <c r="G14" s="429"/>
      <c r="H14" s="429"/>
      <c r="I14" s="429"/>
    </row>
    <row r="15" spans="1:9" ht="19.5" customHeight="1" x14ac:dyDescent="0.3">
      <c r="A15" s="239"/>
    </row>
    <row r="16" spans="1:9" ht="19.5" customHeight="1" x14ac:dyDescent="0.3">
      <c r="A16" s="461" t="s">
        <v>30</v>
      </c>
      <c r="B16" s="462"/>
      <c r="C16" s="462"/>
      <c r="D16" s="462"/>
      <c r="E16" s="462"/>
      <c r="F16" s="462"/>
      <c r="G16" s="462"/>
      <c r="H16" s="463"/>
    </row>
    <row r="17" spans="1:14" ht="20.25" customHeight="1" x14ac:dyDescent="0.25">
      <c r="A17" s="464" t="s">
        <v>31</v>
      </c>
      <c r="B17" s="464"/>
      <c r="C17" s="464"/>
      <c r="D17" s="464"/>
      <c r="E17" s="464"/>
      <c r="F17" s="464"/>
      <c r="G17" s="464"/>
      <c r="H17" s="464"/>
    </row>
    <row r="18" spans="1:14" ht="26.25" customHeight="1" x14ac:dyDescent="0.4">
      <c r="A18" s="241" t="s">
        <v>32</v>
      </c>
      <c r="B18" s="460" t="s">
        <v>5</v>
      </c>
      <c r="C18" s="460"/>
      <c r="D18" s="387"/>
      <c r="E18" s="242"/>
      <c r="F18" s="243"/>
      <c r="G18" s="243"/>
      <c r="H18" s="243"/>
    </row>
    <row r="19" spans="1:14" ht="26.25" customHeight="1" x14ac:dyDescent="0.4">
      <c r="A19" s="241" t="s">
        <v>33</v>
      </c>
      <c r="B19" s="244" t="s">
        <v>7</v>
      </c>
      <c r="C19" s="396">
        <v>1</v>
      </c>
      <c r="D19" s="243"/>
      <c r="E19" s="243"/>
      <c r="F19" s="243"/>
      <c r="G19" s="243"/>
      <c r="H19" s="243"/>
    </row>
    <row r="20" spans="1:14" ht="26.25" customHeight="1" x14ac:dyDescent="0.4">
      <c r="A20" s="241" t="s">
        <v>34</v>
      </c>
      <c r="B20" s="465" t="s">
        <v>137</v>
      </c>
      <c r="C20" s="465"/>
      <c r="D20" s="243"/>
      <c r="E20" s="243"/>
      <c r="F20" s="243"/>
      <c r="G20" s="243"/>
      <c r="H20" s="243"/>
    </row>
    <row r="21" spans="1:14" ht="26.25" customHeight="1" x14ac:dyDescent="0.4">
      <c r="A21" s="241" t="s">
        <v>35</v>
      </c>
      <c r="B21" s="465" t="s">
        <v>140</v>
      </c>
      <c r="C21" s="465"/>
      <c r="D21" s="465"/>
      <c r="E21" s="465"/>
      <c r="F21" s="465"/>
      <c r="G21" s="465"/>
      <c r="H21" s="465"/>
      <c r="I21" s="245"/>
    </row>
    <row r="22" spans="1:14" ht="26.25" customHeight="1" x14ac:dyDescent="0.4">
      <c r="A22" s="241" t="s">
        <v>36</v>
      </c>
      <c r="B22" s="246">
        <v>42719</v>
      </c>
      <c r="C22" s="243"/>
      <c r="D22" s="243"/>
      <c r="E22" s="243"/>
      <c r="F22" s="243"/>
      <c r="G22" s="243"/>
      <c r="H22" s="243"/>
    </row>
    <row r="23" spans="1:14" ht="26.25" customHeight="1" x14ac:dyDescent="0.4">
      <c r="A23" s="241" t="s">
        <v>37</v>
      </c>
      <c r="B23" s="246">
        <v>42723</v>
      </c>
      <c r="C23" s="243"/>
      <c r="D23" s="243"/>
      <c r="E23" s="243"/>
      <c r="F23" s="243"/>
      <c r="G23" s="243"/>
      <c r="H23" s="243"/>
    </row>
    <row r="24" spans="1:14" ht="18.75" x14ac:dyDescent="0.3">
      <c r="A24" s="241"/>
      <c r="B24" s="247"/>
    </row>
    <row r="25" spans="1:14" ht="18.75" x14ac:dyDescent="0.3">
      <c r="A25" s="248" t="s">
        <v>1</v>
      </c>
      <c r="B25" s="247"/>
    </row>
    <row r="26" spans="1:14" ht="26.25" customHeight="1" x14ac:dyDescent="0.4">
      <c r="A26" s="249" t="s">
        <v>4</v>
      </c>
      <c r="B26" s="460" t="s">
        <v>135</v>
      </c>
      <c r="C26" s="460"/>
    </row>
    <row r="27" spans="1:14" ht="26.25" customHeight="1" x14ac:dyDescent="0.4">
      <c r="A27" s="250" t="s">
        <v>38</v>
      </c>
      <c r="B27" s="466" t="s">
        <v>136</v>
      </c>
      <c r="C27" s="466"/>
    </row>
    <row r="28" spans="1:14" ht="27" customHeight="1" x14ac:dyDescent="0.4">
      <c r="A28" s="250" t="s">
        <v>6</v>
      </c>
      <c r="B28" s="251">
        <v>98.8</v>
      </c>
    </row>
    <row r="29" spans="1:14" s="14" customFormat="1" ht="27" customHeight="1" x14ac:dyDescent="0.4">
      <c r="A29" s="250" t="s">
        <v>39</v>
      </c>
      <c r="B29" s="252">
        <v>0</v>
      </c>
      <c r="C29" s="436" t="s">
        <v>40</v>
      </c>
      <c r="D29" s="437"/>
      <c r="E29" s="437"/>
      <c r="F29" s="437"/>
      <c r="G29" s="438"/>
      <c r="I29" s="253"/>
      <c r="J29" s="253"/>
      <c r="K29" s="253"/>
      <c r="L29" s="253"/>
    </row>
    <row r="30" spans="1:14" s="14" customFormat="1" ht="19.5" customHeight="1" x14ac:dyDescent="0.3">
      <c r="A30" s="250" t="s">
        <v>41</v>
      </c>
      <c r="B30" s="254">
        <f>B28-B29</f>
        <v>98.8</v>
      </c>
      <c r="C30" s="255"/>
      <c r="D30" s="255"/>
      <c r="E30" s="255"/>
      <c r="F30" s="255"/>
      <c r="G30" s="256"/>
      <c r="I30" s="253"/>
      <c r="J30" s="253"/>
      <c r="K30" s="253"/>
      <c r="L30" s="253"/>
    </row>
    <row r="31" spans="1:14" s="14" customFormat="1" ht="27" customHeight="1" x14ac:dyDescent="0.4">
      <c r="A31" s="250" t="s">
        <v>42</v>
      </c>
      <c r="B31" s="257">
        <v>1</v>
      </c>
      <c r="C31" s="439" t="s">
        <v>43</v>
      </c>
      <c r="D31" s="440"/>
      <c r="E31" s="440"/>
      <c r="F31" s="440"/>
      <c r="G31" s="440"/>
      <c r="H31" s="441"/>
      <c r="I31" s="253"/>
      <c r="J31" s="253"/>
      <c r="K31" s="253"/>
      <c r="L31" s="253"/>
    </row>
    <row r="32" spans="1:14" s="14" customFormat="1" ht="27" customHeight="1" x14ac:dyDescent="0.4">
      <c r="A32" s="250" t="s">
        <v>44</v>
      </c>
      <c r="B32" s="257">
        <v>1</v>
      </c>
      <c r="C32" s="439" t="s">
        <v>45</v>
      </c>
      <c r="D32" s="440"/>
      <c r="E32" s="440"/>
      <c r="F32" s="440"/>
      <c r="G32" s="440"/>
      <c r="H32" s="441"/>
      <c r="I32" s="253"/>
      <c r="J32" s="253"/>
      <c r="K32" s="253"/>
      <c r="L32" s="258"/>
      <c r="M32" s="258"/>
      <c r="N32" s="259"/>
    </row>
    <row r="33" spans="1:14" s="14" customFormat="1" ht="17.25" customHeight="1" x14ac:dyDescent="0.3">
      <c r="A33" s="250"/>
      <c r="B33" s="260"/>
      <c r="C33" s="261"/>
      <c r="D33" s="261"/>
      <c r="E33" s="261"/>
      <c r="F33" s="261"/>
      <c r="G33" s="261"/>
      <c r="H33" s="261"/>
      <c r="I33" s="253"/>
      <c r="J33" s="253"/>
      <c r="K33" s="253"/>
      <c r="L33" s="258"/>
      <c r="M33" s="258"/>
      <c r="N33" s="259"/>
    </row>
    <row r="34" spans="1:14" s="14" customFormat="1" ht="18.75" x14ac:dyDescent="0.3">
      <c r="A34" s="250" t="s">
        <v>46</v>
      </c>
      <c r="B34" s="262">
        <f>B31/B32</f>
        <v>1</v>
      </c>
      <c r="C34" s="240" t="s">
        <v>47</v>
      </c>
      <c r="D34" s="240"/>
      <c r="E34" s="240"/>
      <c r="F34" s="240"/>
      <c r="G34" s="240"/>
      <c r="I34" s="253"/>
      <c r="J34" s="253"/>
      <c r="K34" s="253"/>
      <c r="L34" s="258"/>
      <c r="M34" s="258"/>
      <c r="N34" s="259"/>
    </row>
    <row r="35" spans="1:14" s="14" customFormat="1" ht="19.5" customHeight="1" x14ac:dyDescent="0.3">
      <c r="A35" s="250"/>
      <c r="B35" s="254"/>
      <c r="G35" s="240"/>
      <c r="I35" s="253"/>
      <c r="J35" s="253"/>
      <c r="K35" s="253"/>
      <c r="L35" s="258"/>
      <c r="M35" s="258"/>
      <c r="N35" s="259"/>
    </row>
    <row r="36" spans="1:14" s="14" customFormat="1" ht="27" customHeight="1" x14ac:dyDescent="0.4">
      <c r="A36" s="263" t="s">
        <v>48</v>
      </c>
      <c r="B36" s="264">
        <v>25</v>
      </c>
      <c r="C36" s="240"/>
      <c r="D36" s="442" t="s">
        <v>49</v>
      </c>
      <c r="E36" s="467"/>
      <c r="F36" s="442" t="s">
        <v>50</v>
      </c>
      <c r="G36" s="443"/>
      <c r="J36" s="253"/>
      <c r="K36" s="253"/>
      <c r="L36" s="258"/>
      <c r="M36" s="258"/>
      <c r="N36" s="259"/>
    </row>
    <row r="37" spans="1:14" s="14" customFormat="1" ht="27" customHeight="1" x14ac:dyDescent="0.4">
      <c r="A37" s="265" t="s">
        <v>51</v>
      </c>
      <c r="B37" s="266">
        <v>2</v>
      </c>
      <c r="C37" s="267" t="s">
        <v>52</v>
      </c>
      <c r="D37" s="268" t="s">
        <v>53</v>
      </c>
      <c r="E37" s="269" t="s">
        <v>54</v>
      </c>
      <c r="F37" s="268" t="s">
        <v>53</v>
      </c>
      <c r="G37" s="270" t="s">
        <v>54</v>
      </c>
      <c r="I37" s="271" t="s">
        <v>55</v>
      </c>
      <c r="J37" s="253"/>
      <c r="K37" s="253"/>
      <c r="L37" s="258"/>
      <c r="M37" s="258"/>
      <c r="N37" s="259"/>
    </row>
    <row r="38" spans="1:14" s="14" customFormat="1" ht="26.25" customHeight="1" x14ac:dyDescent="0.4">
      <c r="A38" s="265" t="s">
        <v>56</v>
      </c>
      <c r="B38" s="266">
        <v>20</v>
      </c>
      <c r="C38" s="272">
        <v>1</v>
      </c>
      <c r="D38" s="273">
        <v>2098222</v>
      </c>
      <c r="E38" s="274">
        <f>IF(ISBLANK(D38),"-",$D$48/$D$45*D38)</f>
        <v>2035501.4163573098</v>
      </c>
      <c r="F38" s="273">
        <v>2013683</v>
      </c>
      <c r="G38" s="275">
        <f>IF(ISBLANK(F38),"-",$D$48/$F$45*F38)</f>
        <v>2083988.4338027705</v>
      </c>
      <c r="I38" s="276"/>
      <c r="J38" s="253"/>
      <c r="K38" s="253"/>
      <c r="L38" s="258"/>
      <c r="M38" s="258"/>
      <c r="N38" s="259"/>
    </row>
    <row r="39" spans="1:14" s="14" customFormat="1" ht="26.25" customHeight="1" x14ac:dyDescent="0.4">
      <c r="A39" s="265" t="s">
        <v>57</v>
      </c>
      <c r="B39" s="266">
        <v>1</v>
      </c>
      <c r="C39" s="277">
        <v>2</v>
      </c>
      <c r="D39" s="278">
        <v>2103111</v>
      </c>
      <c r="E39" s="279">
        <f>IF(ISBLANK(D39),"-",$D$48/$D$45*D39)</f>
        <v>2040244.2731306022</v>
      </c>
      <c r="F39" s="278">
        <v>2028309</v>
      </c>
      <c r="G39" s="280">
        <f>IF(ISBLANK(F39),"-",$D$48/$F$45*F39)</f>
        <v>2099125.0838280222</v>
      </c>
      <c r="I39" s="444">
        <f>ABS((F43/D43*D42)-F42)/D42</f>
        <v>2.3953611698258472E-2</v>
      </c>
      <c r="J39" s="253"/>
      <c r="K39" s="253"/>
      <c r="L39" s="258"/>
      <c r="M39" s="258"/>
      <c r="N39" s="259"/>
    </row>
    <row r="40" spans="1:14" ht="26.25" customHeight="1" x14ac:dyDescent="0.4">
      <c r="A40" s="265" t="s">
        <v>58</v>
      </c>
      <c r="B40" s="266">
        <v>1</v>
      </c>
      <c r="C40" s="277">
        <v>3</v>
      </c>
      <c r="D40" s="278">
        <v>2109942</v>
      </c>
      <c r="E40" s="279">
        <f>IF(ISBLANK(D40),"-",$D$48/$D$45*D40)</f>
        <v>2046871.0791478571</v>
      </c>
      <c r="F40" s="278">
        <v>2025250</v>
      </c>
      <c r="G40" s="280">
        <f>IF(ISBLANK(F40),"-",$D$48/$F$45*F40)</f>
        <v>2095959.2823493376</v>
      </c>
      <c r="I40" s="444"/>
      <c r="L40" s="258"/>
      <c r="M40" s="258"/>
      <c r="N40" s="281"/>
    </row>
    <row r="41" spans="1:14" ht="27" customHeight="1" x14ac:dyDescent="0.4">
      <c r="A41" s="265" t="s">
        <v>59</v>
      </c>
      <c r="B41" s="266">
        <v>1</v>
      </c>
      <c r="C41" s="282">
        <v>4</v>
      </c>
      <c r="D41" s="283"/>
      <c r="E41" s="284" t="str">
        <f>IF(ISBLANK(D41),"-",$D$48/$D$45*D41)</f>
        <v>-</v>
      </c>
      <c r="F41" s="283"/>
      <c r="G41" s="285" t="str">
        <f>IF(ISBLANK(F41),"-",$D$48/$F$45*F41)</f>
        <v>-</v>
      </c>
      <c r="I41" s="286"/>
      <c r="L41" s="258"/>
      <c r="M41" s="258"/>
      <c r="N41" s="281"/>
    </row>
    <row r="42" spans="1:14" ht="27" customHeight="1" x14ac:dyDescent="0.4">
      <c r="A42" s="265" t="s">
        <v>60</v>
      </c>
      <c r="B42" s="266">
        <v>1</v>
      </c>
      <c r="C42" s="287" t="s">
        <v>61</v>
      </c>
      <c r="D42" s="288">
        <f>AVERAGE(D38:D41)</f>
        <v>2103758.3333333335</v>
      </c>
      <c r="E42" s="289">
        <f>AVERAGE(E38:E41)</f>
        <v>2040872.2562119227</v>
      </c>
      <c r="F42" s="288">
        <f>AVERAGE(F38:F41)</f>
        <v>2022414</v>
      </c>
      <c r="G42" s="290">
        <f>AVERAGE(G38:G41)</f>
        <v>2093024.2666600433</v>
      </c>
      <c r="H42" s="291"/>
    </row>
    <row r="43" spans="1:14" ht="26.25" customHeight="1" x14ac:dyDescent="0.4">
      <c r="A43" s="265" t="s">
        <v>62</v>
      </c>
      <c r="B43" s="266">
        <v>1</v>
      </c>
      <c r="C43" s="292" t="s">
        <v>63</v>
      </c>
      <c r="D43" s="293">
        <v>15.65</v>
      </c>
      <c r="E43" s="281"/>
      <c r="F43" s="293">
        <v>14.67</v>
      </c>
      <c r="H43" s="291"/>
    </row>
    <row r="44" spans="1:14" ht="26.25" customHeight="1" x14ac:dyDescent="0.4">
      <c r="A44" s="265" t="s">
        <v>64</v>
      </c>
      <c r="B44" s="266">
        <v>1</v>
      </c>
      <c r="C44" s="294" t="s">
        <v>65</v>
      </c>
      <c r="D44" s="295">
        <f>D43*$B$34</f>
        <v>15.65</v>
      </c>
      <c r="E44" s="296"/>
      <c r="F44" s="295">
        <f>F43*$B$34</f>
        <v>14.67</v>
      </c>
      <c r="H44" s="291"/>
    </row>
    <row r="45" spans="1:14" ht="19.5" customHeight="1" x14ac:dyDescent="0.3">
      <c r="A45" s="265" t="s">
        <v>66</v>
      </c>
      <c r="B45" s="297">
        <f>(B44/B43)*(B42/B41)*(B40/B39)*(B38/B37)*B36</f>
        <v>250</v>
      </c>
      <c r="C45" s="294" t="s">
        <v>67</v>
      </c>
      <c r="D45" s="298">
        <f>D44*$B$30/100</f>
        <v>15.462200000000001</v>
      </c>
      <c r="E45" s="299"/>
      <c r="F45" s="298">
        <f>F44*$B$30/100</f>
        <v>14.49396</v>
      </c>
      <c r="H45" s="291"/>
    </row>
    <row r="46" spans="1:14" ht="19.5" customHeight="1" x14ac:dyDescent="0.3">
      <c r="A46" s="430" t="s">
        <v>68</v>
      </c>
      <c r="B46" s="431"/>
      <c r="C46" s="294" t="s">
        <v>69</v>
      </c>
      <c r="D46" s="300">
        <f>D45/$B$45</f>
        <v>6.1848800000000002E-2</v>
      </c>
      <c r="E46" s="301"/>
      <c r="F46" s="302">
        <f>F45/$B$45</f>
        <v>5.7975840000000001E-2</v>
      </c>
      <c r="H46" s="291"/>
    </row>
    <row r="47" spans="1:14" ht="27" customHeight="1" x14ac:dyDescent="0.4">
      <c r="A47" s="432"/>
      <c r="B47" s="433"/>
      <c r="C47" s="303" t="s">
        <v>70</v>
      </c>
      <c r="D47" s="304">
        <v>0.06</v>
      </c>
      <c r="E47" s="305"/>
      <c r="F47" s="301"/>
      <c r="H47" s="291"/>
    </row>
    <row r="48" spans="1:14" ht="18.75" x14ac:dyDescent="0.3">
      <c r="C48" s="306" t="s">
        <v>71</v>
      </c>
      <c r="D48" s="298">
        <f>D47*$B$45</f>
        <v>15</v>
      </c>
      <c r="F48" s="307"/>
      <c r="H48" s="291"/>
    </row>
    <row r="49" spans="1:12" ht="19.5" customHeight="1" x14ac:dyDescent="0.3">
      <c r="C49" s="308" t="s">
        <v>72</v>
      </c>
      <c r="D49" s="309">
        <f>D48/B34</f>
        <v>15</v>
      </c>
      <c r="F49" s="307"/>
      <c r="H49" s="291"/>
    </row>
    <row r="50" spans="1:12" ht="18.75" x14ac:dyDescent="0.3">
      <c r="C50" s="263" t="s">
        <v>73</v>
      </c>
      <c r="D50" s="310">
        <f>AVERAGE(E38:E41,G38:G41)</f>
        <v>2066948.261435983</v>
      </c>
      <c r="F50" s="311"/>
      <c r="H50" s="291"/>
    </row>
    <row r="51" spans="1:12" ht="18.75" x14ac:dyDescent="0.3">
      <c r="C51" s="265" t="s">
        <v>74</v>
      </c>
      <c r="D51" s="312">
        <f>STDEV(E38:E41,G38:G41)/D50</f>
        <v>1.4142433370786018E-2</v>
      </c>
      <c r="F51" s="311"/>
      <c r="H51" s="291"/>
    </row>
    <row r="52" spans="1:12" ht="19.5" customHeight="1" x14ac:dyDescent="0.3">
      <c r="C52" s="313" t="s">
        <v>17</v>
      </c>
      <c r="D52" s="314">
        <f>COUNT(E38:E41,G38:G41)</f>
        <v>6</v>
      </c>
      <c r="F52" s="311"/>
    </row>
    <row r="54" spans="1:12" ht="18.75" x14ac:dyDescent="0.3">
      <c r="A54" s="315" t="s">
        <v>1</v>
      </c>
      <c r="B54" s="316" t="s">
        <v>75</v>
      </c>
    </row>
    <row r="55" spans="1:12" ht="18.75" x14ac:dyDescent="0.3">
      <c r="A55" s="240" t="s">
        <v>76</v>
      </c>
      <c r="B55" s="317" t="str">
        <f>B21</f>
        <v>Each film coated tablet contains 300mg of tenofovir disoproxyl fumerate,which is equivavalent to 245mg of tenofovir disoproxil.</v>
      </c>
    </row>
    <row r="56" spans="1:12" ht="26.25" customHeight="1" x14ac:dyDescent="0.4">
      <c r="A56" s="318" t="s">
        <v>77</v>
      </c>
      <c r="B56" s="319">
        <v>300</v>
      </c>
      <c r="C56" s="240" t="str">
        <f>B20</f>
        <v>TENOFOVIR DISOPROXIL FUMERATE</v>
      </c>
      <c r="H56" s="320"/>
    </row>
    <row r="57" spans="1:12" ht="18.75" x14ac:dyDescent="0.3">
      <c r="A57" s="317" t="s">
        <v>78</v>
      </c>
      <c r="B57" s="388">
        <f>Uniformity!C46</f>
        <v>1019.4585000000001</v>
      </c>
      <c r="H57" s="320"/>
    </row>
    <row r="58" spans="1:12" ht="19.5" customHeight="1" x14ac:dyDescent="0.3">
      <c r="H58" s="320"/>
    </row>
    <row r="59" spans="1:12" s="14" customFormat="1" ht="27" customHeight="1" x14ac:dyDescent="0.4">
      <c r="A59" s="263" t="s">
        <v>79</v>
      </c>
      <c r="B59" s="264">
        <v>200</v>
      </c>
      <c r="C59" s="240"/>
      <c r="D59" s="321" t="s">
        <v>80</v>
      </c>
      <c r="E59" s="322" t="s">
        <v>52</v>
      </c>
      <c r="F59" s="322" t="s">
        <v>53</v>
      </c>
      <c r="G59" s="322" t="s">
        <v>81</v>
      </c>
      <c r="H59" s="267" t="s">
        <v>82</v>
      </c>
      <c r="L59" s="253"/>
    </row>
    <row r="60" spans="1:12" s="14" customFormat="1" ht="26.25" customHeight="1" x14ac:dyDescent="0.4">
      <c r="A60" s="265" t="s">
        <v>83</v>
      </c>
      <c r="B60" s="266">
        <v>1</v>
      </c>
      <c r="C60" s="447" t="s">
        <v>84</v>
      </c>
      <c r="D60" s="450">
        <f>Emtricitabine!D60</f>
        <v>1013.99</v>
      </c>
      <c r="E60" s="323">
        <v>1</v>
      </c>
      <c r="F60" s="324">
        <v>2705329</v>
      </c>
      <c r="G60" s="389">
        <f>IF(ISBLANK(F60),"-",(F60/$D$50*$D$47*$B$68)*($B$57/$D$60))</f>
        <v>315.81852669579297</v>
      </c>
      <c r="H60" s="407">
        <f t="shared" ref="H60:H71" si="0">IF(ISBLANK(F60),"-",(G60/$B$56)*100)</f>
        <v>105.27284223193098</v>
      </c>
      <c r="L60" s="253"/>
    </row>
    <row r="61" spans="1:12" s="14" customFormat="1" ht="26.25" customHeight="1" x14ac:dyDescent="0.4">
      <c r="A61" s="265" t="s">
        <v>85</v>
      </c>
      <c r="B61" s="266">
        <v>20</v>
      </c>
      <c r="C61" s="448"/>
      <c r="D61" s="451"/>
      <c r="E61" s="325">
        <v>2</v>
      </c>
      <c r="F61" s="278">
        <v>2564998</v>
      </c>
      <c r="G61" s="390">
        <f>IF(ISBLANK(F61),"-",(F61/$D$50*$D$47*$B$68)*($B$57/$D$60))</f>
        <v>299.43636775329566</v>
      </c>
      <c r="H61" s="408">
        <f t="shared" si="0"/>
        <v>99.81212258443189</v>
      </c>
      <c r="L61" s="253"/>
    </row>
    <row r="62" spans="1:12" s="14" customFormat="1" ht="26.25" customHeight="1" x14ac:dyDescent="0.4">
      <c r="A62" s="265" t="s">
        <v>86</v>
      </c>
      <c r="B62" s="266">
        <v>1</v>
      </c>
      <c r="C62" s="448"/>
      <c r="D62" s="451"/>
      <c r="E62" s="325">
        <v>3</v>
      </c>
      <c r="F62" s="326">
        <v>2570853</v>
      </c>
      <c r="G62" s="390">
        <f>IF(ISBLANK(F62),"-",(F62/$D$50*$D$47*$B$68)*($B$57/$D$60))</f>
        <v>300.11987703213163</v>
      </c>
      <c r="H62" s="408">
        <f t="shared" si="0"/>
        <v>100.03995901071055</v>
      </c>
      <c r="L62" s="253"/>
    </row>
    <row r="63" spans="1:12" ht="27" customHeight="1" x14ac:dyDescent="0.4">
      <c r="A63" s="265" t="s">
        <v>87</v>
      </c>
      <c r="B63" s="266">
        <v>1</v>
      </c>
      <c r="C63" s="457"/>
      <c r="D63" s="452"/>
      <c r="E63" s="327">
        <v>4</v>
      </c>
      <c r="F63" s="328"/>
      <c r="G63" s="390" t="str">
        <f>IF(ISBLANK(F63),"-",(F63/$D$50*$D$47*$B$68)*($B$57/$D$60))</f>
        <v>-</v>
      </c>
      <c r="H63" s="408" t="str">
        <f t="shared" si="0"/>
        <v>-</v>
      </c>
    </row>
    <row r="64" spans="1:12" ht="26.25" customHeight="1" x14ac:dyDescent="0.4">
      <c r="A64" s="265" t="s">
        <v>88</v>
      </c>
      <c r="B64" s="266">
        <v>1</v>
      </c>
      <c r="C64" s="447" t="s">
        <v>89</v>
      </c>
      <c r="D64" s="450">
        <f>Emtricitabine!D64</f>
        <v>1027</v>
      </c>
      <c r="E64" s="323">
        <v>1</v>
      </c>
      <c r="F64" s="324">
        <v>2606634</v>
      </c>
      <c r="G64" s="389">
        <f>IF(ISBLANK(F64),"-",(F64/$D$50*$D$47*$B$68)*($B$57/$D$64))</f>
        <v>300.44210722138655</v>
      </c>
      <c r="H64" s="407">
        <f t="shared" si="0"/>
        <v>100.14736907379552</v>
      </c>
    </row>
    <row r="65" spans="1:8" ht="26.25" customHeight="1" x14ac:dyDescent="0.4">
      <c r="A65" s="265" t="s">
        <v>90</v>
      </c>
      <c r="B65" s="266">
        <v>1</v>
      </c>
      <c r="C65" s="448"/>
      <c r="D65" s="451"/>
      <c r="E65" s="325">
        <v>2</v>
      </c>
      <c r="F65" s="278">
        <v>2641530</v>
      </c>
      <c r="G65" s="390">
        <f>IF(ISBLANK(F65),"-",(F65/$D$50*$D$47*$B$68)*($B$57/$D$64))</f>
        <v>304.46423989271568</v>
      </c>
      <c r="H65" s="408">
        <f t="shared" si="0"/>
        <v>101.48807996423857</v>
      </c>
    </row>
    <row r="66" spans="1:8" ht="26.25" customHeight="1" x14ac:dyDescent="0.4">
      <c r="A66" s="265" t="s">
        <v>91</v>
      </c>
      <c r="B66" s="266">
        <v>1</v>
      </c>
      <c r="C66" s="448"/>
      <c r="D66" s="451"/>
      <c r="E66" s="325">
        <v>3</v>
      </c>
      <c r="F66" s="278">
        <v>2611955</v>
      </c>
      <c r="G66" s="390">
        <f>IF(ISBLANK(F66),"-",(F66/$D$50*$D$47*$B$68)*($B$57/$D$64))</f>
        <v>301.05540868700268</v>
      </c>
      <c r="H66" s="408">
        <f t="shared" si="0"/>
        <v>100.35180289566756</v>
      </c>
    </row>
    <row r="67" spans="1:8" ht="27" customHeight="1" x14ac:dyDescent="0.4">
      <c r="A67" s="265" t="s">
        <v>92</v>
      </c>
      <c r="B67" s="266">
        <v>1</v>
      </c>
      <c r="C67" s="457"/>
      <c r="D67" s="452"/>
      <c r="E67" s="327">
        <v>4</v>
      </c>
      <c r="F67" s="328"/>
      <c r="G67" s="406" t="str">
        <f>IF(ISBLANK(F67),"-",(F67/$D$50*$D$47*$B$68)*($B$57/$D$64))</f>
        <v>-</v>
      </c>
      <c r="H67" s="409" t="str">
        <f t="shared" si="0"/>
        <v>-</v>
      </c>
    </row>
    <row r="68" spans="1:8" ht="26.25" customHeight="1" x14ac:dyDescent="0.4">
      <c r="A68" s="265" t="s">
        <v>93</v>
      </c>
      <c r="B68" s="329">
        <f>(B67/B66)*(B65/B64)*(B63/B62)*(B61/B60)*B59</f>
        <v>4000</v>
      </c>
      <c r="C68" s="447" t="s">
        <v>94</v>
      </c>
      <c r="D68" s="450">
        <f>Emtricitabine!D68</f>
        <v>1024.1500000000001</v>
      </c>
      <c r="E68" s="323">
        <v>1</v>
      </c>
      <c r="F68" s="324">
        <v>2593264</v>
      </c>
      <c r="G68" s="389">
        <f>IF(ISBLANK(F68),"-",(F68/$D$50*$D$47*$B$68)*($B$57/$D$68))</f>
        <v>299.73285402810802</v>
      </c>
      <c r="H68" s="408">
        <f t="shared" si="0"/>
        <v>99.910951342702674</v>
      </c>
    </row>
    <row r="69" spans="1:8" ht="27" customHeight="1" x14ac:dyDescent="0.4">
      <c r="A69" s="313" t="s">
        <v>95</v>
      </c>
      <c r="B69" s="330">
        <f>(D47*B68)/B56*B57</f>
        <v>815.56680000000006</v>
      </c>
      <c r="C69" s="448"/>
      <c r="D69" s="451"/>
      <c r="E69" s="325">
        <v>2</v>
      </c>
      <c r="F69" s="278">
        <v>2605880</v>
      </c>
      <c r="G69" s="390">
        <f>IF(ISBLANK(F69),"-",(F69/$D$50*$D$47*$B$68)*($B$57/$D$68))</f>
        <v>301.19102785322525</v>
      </c>
      <c r="H69" s="408">
        <f t="shared" si="0"/>
        <v>100.39700928440843</v>
      </c>
    </row>
    <row r="70" spans="1:8" ht="26.25" customHeight="1" x14ac:dyDescent="0.4">
      <c r="A70" s="453" t="s">
        <v>68</v>
      </c>
      <c r="B70" s="454"/>
      <c r="C70" s="448"/>
      <c r="D70" s="451"/>
      <c r="E70" s="325">
        <v>3</v>
      </c>
      <c r="F70" s="278">
        <v>2596938</v>
      </c>
      <c r="G70" s="390">
        <f>IF(ISBLANK(F70),"-",(F70/$D$50*$D$47*$B$68)*($B$57/$D$68))</f>
        <v>300.15749976633572</v>
      </c>
      <c r="H70" s="408">
        <f t="shared" si="0"/>
        <v>100.05249992211192</v>
      </c>
    </row>
    <row r="71" spans="1:8" ht="27" customHeight="1" x14ac:dyDescent="0.4">
      <c r="A71" s="455"/>
      <c r="B71" s="456"/>
      <c r="C71" s="449"/>
      <c r="D71" s="452"/>
      <c r="E71" s="327">
        <v>4</v>
      </c>
      <c r="F71" s="328"/>
      <c r="G71" s="406" t="str">
        <f>IF(ISBLANK(F71),"-",(F71/$D$50*$D$47*$B$68)*($B$57/$D$68))</f>
        <v>-</v>
      </c>
      <c r="H71" s="409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61</v>
      </c>
      <c r="G72" s="395">
        <f>AVERAGE(G60:G71)</f>
        <v>302.49087876999937</v>
      </c>
      <c r="H72" s="410">
        <f>AVERAGE(H60:H71)</f>
        <v>100.83029292333312</v>
      </c>
    </row>
    <row r="73" spans="1:8" ht="26.25" customHeight="1" x14ac:dyDescent="0.4">
      <c r="C73" s="331"/>
      <c r="D73" s="331"/>
      <c r="E73" s="331"/>
      <c r="F73" s="334" t="s">
        <v>74</v>
      </c>
      <c r="G73" s="394">
        <f>STDEV(G60:G71)/G72</f>
        <v>1.7236276345273586E-2</v>
      </c>
      <c r="H73" s="394">
        <f>STDEV(H60:H71)/H72</f>
        <v>1.7236276345273541E-2</v>
      </c>
    </row>
    <row r="74" spans="1:8" ht="27" customHeight="1" x14ac:dyDescent="0.4">
      <c r="A74" s="331"/>
      <c r="B74" s="331"/>
      <c r="C74" s="332"/>
      <c r="D74" s="332"/>
      <c r="E74" s="335"/>
      <c r="F74" s="336" t="s">
        <v>17</v>
      </c>
      <c r="G74" s="337">
        <f>COUNT(G60:G71)</f>
        <v>9</v>
      </c>
      <c r="H74" s="337">
        <f>COUNT(H60:H71)</f>
        <v>9</v>
      </c>
    </row>
    <row r="76" spans="1:8" ht="26.25" customHeight="1" x14ac:dyDescent="0.4">
      <c r="A76" s="249" t="s">
        <v>96</v>
      </c>
      <c r="B76" s="338" t="s">
        <v>97</v>
      </c>
      <c r="C76" s="434" t="str">
        <f>B26</f>
        <v>Tenofovir DF</v>
      </c>
      <c r="D76" s="434"/>
      <c r="E76" s="339" t="s">
        <v>98</v>
      </c>
      <c r="F76" s="339"/>
      <c r="G76" s="340">
        <f>H72</f>
        <v>100.83029292333312</v>
      </c>
      <c r="H76" s="341"/>
    </row>
    <row r="77" spans="1:8" ht="18.75" x14ac:dyDescent="0.3">
      <c r="A77" s="248" t="s">
        <v>99</v>
      </c>
      <c r="B77" s="248" t="s">
        <v>100</v>
      </c>
    </row>
    <row r="78" spans="1:8" ht="18.75" x14ac:dyDescent="0.3">
      <c r="A78" s="248"/>
      <c r="B78" s="248"/>
    </row>
    <row r="79" spans="1:8" ht="26.25" customHeight="1" x14ac:dyDescent="0.4">
      <c r="A79" s="249" t="s">
        <v>4</v>
      </c>
      <c r="B79" s="468" t="str">
        <f>B26</f>
        <v>Tenofovir DF</v>
      </c>
      <c r="C79" s="468"/>
    </row>
    <row r="80" spans="1:8" ht="26.25" customHeight="1" x14ac:dyDescent="0.4">
      <c r="A80" s="250" t="s">
        <v>38</v>
      </c>
      <c r="B80" s="468" t="str">
        <f>B27</f>
        <v>T11 8</v>
      </c>
      <c r="C80" s="468"/>
    </row>
    <row r="81" spans="1:12" ht="27" customHeight="1" x14ac:dyDescent="0.4">
      <c r="A81" s="250" t="s">
        <v>6</v>
      </c>
      <c r="B81" s="342">
        <f>B28</f>
        <v>98.8</v>
      </c>
    </row>
    <row r="82" spans="1:12" s="14" customFormat="1" ht="27" customHeight="1" x14ac:dyDescent="0.4">
      <c r="A82" s="250" t="s">
        <v>39</v>
      </c>
      <c r="B82" s="252">
        <v>0</v>
      </c>
      <c r="C82" s="436" t="s">
        <v>40</v>
      </c>
      <c r="D82" s="437"/>
      <c r="E82" s="437"/>
      <c r="F82" s="437"/>
      <c r="G82" s="438"/>
      <c r="I82" s="253"/>
      <c r="J82" s="253"/>
      <c r="K82" s="253"/>
      <c r="L82" s="253"/>
    </row>
    <row r="83" spans="1:12" s="14" customFormat="1" ht="19.5" customHeight="1" x14ac:dyDescent="0.3">
      <c r="A83" s="250" t="s">
        <v>41</v>
      </c>
      <c r="B83" s="254">
        <f>B81-B82</f>
        <v>98.8</v>
      </c>
      <c r="C83" s="255"/>
      <c r="D83" s="255"/>
      <c r="E83" s="255"/>
      <c r="F83" s="255"/>
      <c r="G83" s="256"/>
      <c r="I83" s="253"/>
      <c r="J83" s="253"/>
      <c r="K83" s="253"/>
      <c r="L83" s="253"/>
    </row>
    <row r="84" spans="1:12" s="14" customFormat="1" ht="27" customHeight="1" x14ac:dyDescent="0.4">
      <c r="A84" s="250" t="s">
        <v>42</v>
      </c>
      <c r="B84" s="257">
        <v>1</v>
      </c>
      <c r="C84" s="439" t="s">
        <v>101</v>
      </c>
      <c r="D84" s="440"/>
      <c r="E84" s="440"/>
      <c r="F84" s="440"/>
      <c r="G84" s="440"/>
      <c r="H84" s="441"/>
      <c r="I84" s="253"/>
      <c r="J84" s="253"/>
      <c r="K84" s="253"/>
      <c r="L84" s="253"/>
    </row>
    <row r="85" spans="1:12" s="14" customFormat="1" ht="27" customHeight="1" x14ac:dyDescent="0.4">
      <c r="A85" s="250" t="s">
        <v>44</v>
      </c>
      <c r="B85" s="257">
        <v>1</v>
      </c>
      <c r="C85" s="439" t="s">
        <v>102</v>
      </c>
      <c r="D85" s="440"/>
      <c r="E85" s="440"/>
      <c r="F85" s="440"/>
      <c r="G85" s="440"/>
      <c r="H85" s="441"/>
      <c r="I85" s="253"/>
      <c r="J85" s="253"/>
      <c r="K85" s="253"/>
      <c r="L85" s="253"/>
    </row>
    <row r="86" spans="1:12" s="14" customFormat="1" ht="18.75" x14ac:dyDescent="0.3">
      <c r="A86" s="250"/>
      <c r="B86" s="260"/>
      <c r="C86" s="261"/>
      <c r="D86" s="261"/>
      <c r="E86" s="261"/>
      <c r="F86" s="261"/>
      <c r="G86" s="261"/>
      <c r="H86" s="261"/>
      <c r="I86" s="253"/>
      <c r="J86" s="253"/>
      <c r="K86" s="253"/>
      <c r="L86" s="253"/>
    </row>
    <row r="87" spans="1:12" s="14" customFormat="1" ht="18.75" x14ac:dyDescent="0.3">
      <c r="A87" s="250" t="s">
        <v>46</v>
      </c>
      <c r="B87" s="262">
        <f>B84/B85</f>
        <v>1</v>
      </c>
      <c r="C87" s="240" t="s">
        <v>47</v>
      </c>
      <c r="D87" s="240"/>
      <c r="E87" s="240"/>
      <c r="F87" s="240"/>
      <c r="G87" s="240"/>
      <c r="I87" s="253"/>
      <c r="J87" s="253"/>
      <c r="K87" s="253"/>
      <c r="L87" s="253"/>
    </row>
    <row r="88" spans="1:12" ht="19.5" customHeight="1" x14ac:dyDescent="0.3">
      <c r="A88" s="248"/>
      <c r="B88" s="248"/>
    </row>
    <row r="89" spans="1:12" ht="27" customHeight="1" x14ac:dyDescent="0.4">
      <c r="A89" s="263" t="s">
        <v>48</v>
      </c>
      <c r="B89" s="264">
        <v>25</v>
      </c>
      <c r="D89" s="343" t="s">
        <v>49</v>
      </c>
      <c r="E89" s="344"/>
      <c r="F89" s="442" t="s">
        <v>50</v>
      </c>
      <c r="G89" s="443"/>
    </row>
    <row r="90" spans="1:12" ht="27" customHeight="1" x14ac:dyDescent="0.4">
      <c r="A90" s="265" t="s">
        <v>51</v>
      </c>
      <c r="B90" s="266">
        <v>4</v>
      </c>
      <c r="C90" s="345" t="s">
        <v>52</v>
      </c>
      <c r="D90" s="268" t="s">
        <v>53</v>
      </c>
      <c r="E90" s="269" t="s">
        <v>54</v>
      </c>
      <c r="F90" s="268" t="s">
        <v>53</v>
      </c>
      <c r="G90" s="346" t="s">
        <v>54</v>
      </c>
      <c r="I90" s="271" t="s">
        <v>55</v>
      </c>
    </row>
    <row r="91" spans="1:12" ht="26.25" customHeight="1" x14ac:dyDescent="0.4">
      <c r="A91" s="265" t="s">
        <v>56</v>
      </c>
      <c r="B91" s="266">
        <v>10</v>
      </c>
      <c r="C91" s="347">
        <v>1</v>
      </c>
      <c r="D91" s="273">
        <v>8267549</v>
      </c>
      <c r="E91" s="274">
        <f>IF(ISBLANK(D91),"-",$D$101/$D$98*D91)</f>
        <v>11139462.959130436</v>
      </c>
      <c r="F91" s="273">
        <v>7902761</v>
      </c>
      <c r="G91" s="275">
        <f>IF(ISBLANK(F91),"-",$D$101/$F$98*F91)</f>
        <v>11359273.391582884</v>
      </c>
      <c r="I91" s="276"/>
    </row>
    <row r="92" spans="1:12" ht="26.25" customHeight="1" x14ac:dyDescent="0.4">
      <c r="A92" s="265" t="s">
        <v>57</v>
      </c>
      <c r="B92" s="266">
        <v>1</v>
      </c>
      <c r="C92" s="332">
        <v>2</v>
      </c>
      <c r="D92" s="278">
        <v>8268112</v>
      </c>
      <c r="E92" s="279">
        <f>IF(ISBLANK(D92),"-",$D$101/$D$98*D92)</f>
        <v>11140221.529493429</v>
      </c>
      <c r="F92" s="278">
        <v>7909095</v>
      </c>
      <c r="G92" s="280">
        <f>IF(ISBLANK(F92),"-",$D$101/$F$98*F92)</f>
        <v>11368377.758735362</v>
      </c>
      <c r="I92" s="444">
        <f>ABS((F96/D96*D95)-F95)/D95</f>
        <v>1.9380899408429866E-2</v>
      </c>
    </row>
    <row r="93" spans="1:12" ht="26.25" customHeight="1" x14ac:dyDescent="0.4">
      <c r="A93" s="265" t="s">
        <v>58</v>
      </c>
      <c r="B93" s="266">
        <v>1</v>
      </c>
      <c r="C93" s="332">
        <v>3</v>
      </c>
      <c r="D93" s="278">
        <v>8269359</v>
      </c>
      <c r="E93" s="279">
        <f>IF(ISBLANK(D93),"-",$D$101/$D$98*D93)</f>
        <v>11141901.702215724</v>
      </c>
      <c r="F93" s="278">
        <v>7920622</v>
      </c>
      <c r="G93" s="280">
        <f>IF(ISBLANK(F93),"-",$D$101/$F$98*F93)</f>
        <v>11384946.442058163</v>
      </c>
      <c r="I93" s="444"/>
    </row>
    <row r="94" spans="1:12" ht="27" customHeight="1" x14ac:dyDescent="0.4">
      <c r="A94" s="265" t="s">
        <v>59</v>
      </c>
      <c r="B94" s="266">
        <v>1</v>
      </c>
      <c r="C94" s="348">
        <v>4</v>
      </c>
      <c r="D94" s="283"/>
      <c r="E94" s="284" t="str">
        <f>IF(ISBLANK(D94),"-",$D$101/$D$98*D94)</f>
        <v>-</v>
      </c>
      <c r="F94" s="349"/>
      <c r="G94" s="285" t="str">
        <f>IF(ISBLANK(F94),"-",$D$101/$F$98*F94)</f>
        <v>-</v>
      </c>
      <c r="I94" s="286"/>
    </row>
    <row r="95" spans="1:12" ht="27" customHeight="1" x14ac:dyDescent="0.4">
      <c r="A95" s="265" t="s">
        <v>60</v>
      </c>
      <c r="B95" s="266">
        <v>1</v>
      </c>
      <c r="C95" s="350" t="s">
        <v>61</v>
      </c>
      <c r="D95" s="351">
        <f>AVERAGE(D91:D94)</f>
        <v>8268340</v>
      </c>
      <c r="E95" s="289">
        <f>AVERAGE(E91:E94)</f>
        <v>11140528.730279863</v>
      </c>
      <c r="F95" s="352">
        <f>AVERAGE(F91:F94)</f>
        <v>7910826</v>
      </c>
      <c r="G95" s="353">
        <f>AVERAGE(G91:G94)</f>
        <v>11370865.86412547</v>
      </c>
    </row>
    <row r="96" spans="1:12" ht="26.25" customHeight="1" x14ac:dyDescent="0.4">
      <c r="A96" s="265" t="s">
        <v>62</v>
      </c>
      <c r="B96" s="251">
        <v>1</v>
      </c>
      <c r="C96" s="354" t="s">
        <v>103</v>
      </c>
      <c r="D96" s="355">
        <f>D43</f>
        <v>15.65</v>
      </c>
      <c r="E96" s="281"/>
      <c r="F96" s="293">
        <f>F43</f>
        <v>14.67</v>
      </c>
    </row>
    <row r="97" spans="1:10" ht="26.25" customHeight="1" x14ac:dyDescent="0.4">
      <c r="A97" s="265" t="s">
        <v>64</v>
      </c>
      <c r="B97" s="251">
        <v>1</v>
      </c>
      <c r="C97" s="356" t="s">
        <v>104</v>
      </c>
      <c r="D97" s="357">
        <f>D96*$B$87</f>
        <v>15.65</v>
      </c>
      <c r="E97" s="296"/>
      <c r="F97" s="295">
        <f>F96*$B$87</f>
        <v>14.67</v>
      </c>
    </row>
    <row r="98" spans="1:10" ht="19.5" customHeight="1" x14ac:dyDescent="0.3">
      <c r="A98" s="265" t="s">
        <v>66</v>
      </c>
      <c r="B98" s="358">
        <f>(B97/B96)*(B95/B94)*(B93/B92)*(B91/B90)*B89</f>
        <v>62.5</v>
      </c>
      <c r="C98" s="356" t="s">
        <v>105</v>
      </c>
      <c r="D98" s="359">
        <f>D97*$B$83/100</f>
        <v>15.462200000000001</v>
      </c>
      <c r="E98" s="299"/>
      <c r="F98" s="298">
        <f>F97*$B$83/100</f>
        <v>14.49396</v>
      </c>
    </row>
    <row r="99" spans="1:10" ht="19.5" customHeight="1" x14ac:dyDescent="0.3">
      <c r="A99" s="430" t="s">
        <v>68</v>
      </c>
      <c r="B99" s="445"/>
      <c r="C99" s="356" t="s">
        <v>106</v>
      </c>
      <c r="D99" s="360">
        <f>D98/$B$98</f>
        <v>0.24739520000000001</v>
      </c>
      <c r="E99" s="299"/>
      <c r="F99" s="302">
        <f>F98/$B$98</f>
        <v>0.23190336</v>
      </c>
      <c r="G99" s="361"/>
      <c r="H99" s="291"/>
    </row>
    <row r="100" spans="1:10" ht="19.5" customHeight="1" x14ac:dyDescent="0.3">
      <c r="A100" s="432"/>
      <c r="B100" s="446"/>
      <c r="C100" s="356" t="s">
        <v>70</v>
      </c>
      <c r="D100" s="362">
        <f>$B$56/$B$116</f>
        <v>0.33333333333333331</v>
      </c>
      <c r="F100" s="307"/>
      <c r="G100" s="363"/>
      <c r="H100" s="291"/>
    </row>
    <row r="101" spans="1:10" ht="18.75" x14ac:dyDescent="0.3">
      <c r="C101" s="356" t="s">
        <v>71</v>
      </c>
      <c r="D101" s="357">
        <f>D100*$B$98</f>
        <v>20.833333333333332</v>
      </c>
      <c r="F101" s="307"/>
      <c r="G101" s="361"/>
      <c r="H101" s="291"/>
    </row>
    <row r="102" spans="1:10" ht="19.5" customHeight="1" x14ac:dyDescent="0.3">
      <c r="C102" s="364" t="s">
        <v>72</v>
      </c>
      <c r="D102" s="365">
        <f>D101/B34</f>
        <v>20.833333333333332</v>
      </c>
      <c r="F102" s="311"/>
      <c r="G102" s="361"/>
      <c r="H102" s="291"/>
      <c r="J102" s="366"/>
    </row>
    <row r="103" spans="1:10" ht="18.75" x14ac:dyDescent="0.3">
      <c r="C103" s="367" t="s">
        <v>107</v>
      </c>
      <c r="D103" s="368">
        <f>AVERAGE(E91:E94,G91:G94)</f>
        <v>11255697.297202667</v>
      </c>
      <c r="F103" s="311"/>
      <c r="G103" s="369"/>
      <c r="H103" s="291"/>
      <c r="J103" s="370"/>
    </row>
    <row r="104" spans="1:10" ht="18.75" x14ac:dyDescent="0.3">
      <c r="C104" s="334" t="s">
        <v>74</v>
      </c>
      <c r="D104" s="371">
        <f>STDEV(E91:E94,G91:G94)/D103</f>
        <v>1.123267588582366E-2</v>
      </c>
      <c r="F104" s="311"/>
      <c r="G104" s="361"/>
      <c r="H104" s="291"/>
      <c r="J104" s="370"/>
    </row>
    <row r="105" spans="1:10" ht="19.5" customHeight="1" x14ac:dyDescent="0.3">
      <c r="C105" s="336" t="s">
        <v>17</v>
      </c>
      <c r="D105" s="372">
        <f>COUNT(E91:E94,G91:G94)</f>
        <v>6</v>
      </c>
      <c r="F105" s="311"/>
      <c r="G105" s="361"/>
      <c r="H105" s="291"/>
      <c r="J105" s="370"/>
    </row>
    <row r="106" spans="1:10" ht="19.5" customHeight="1" x14ac:dyDescent="0.3">
      <c r="A106" s="315"/>
      <c r="B106" s="315"/>
      <c r="C106" s="315"/>
      <c r="D106" s="315"/>
      <c r="E106" s="315"/>
    </row>
    <row r="107" spans="1:10" ht="27" customHeight="1" x14ac:dyDescent="0.4">
      <c r="A107" s="263" t="s">
        <v>108</v>
      </c>
      <c r="B107" s="264">
        <v>900</v>
      </c>
      <c r="C107" s="411" t="s">
        <v>109</v>
      </c>
      <c r="D107" s="411" t="s">
        <v>53</v>
      </c>
      <c r="E107" s="411" t="s">
        <v>110</v>
      </c>
      <c r="F107" s="373" t="s">
        <v>111</v>
      </c>
    </row>
    <row r="108" spans="1:10" ht="26.25" customHeight="1" x14ac:dyDescent="0.4">
      <c r="A108" s="265" t="s">
        <v>112</v>
      </c>
      <c r="B108" s="266">
        <v>1</v>
      </c>
      <c r="C108" s="416">
        <v>1</v>
      </c>
      <c r="D108" s="417">
        <v>9941614</v>
      </c>
      <c r="E108" s="391">
        <f t="shared" ref="E108:E113" si="1">IF(ISBLANK(D108),"-",D108/$D$103*$D$100*$B$116)</f>
        <v>264.97551606520409</v>
      </c>
      <c r="F108" s="418">
        <f t="shared" ref="F108:F113" si="2">IF(ISBLANK(D108), "-", (E108/$B$56)*100)</f>
        <v>88.325172021734701</v>
      </c>
    </row>
    <row r="109" spans="1:10" ht="26.25" customHeight="1" x14ac:dyDescent="0.4">
      <c r="A109" s="265" t="s">
        <v>85</v>
      </c>
      <c r="B109" s="266">
        <v>1</v>
      </c>
      <c r="C109" s="412">
        <v>2</v>
      </c>
      <c r="D109" s="414">
        <v>9954702</v>
      </c>
      <c r="E109" s="392">
        <f t="shared" si="1"/>
        <v>265.32435273843055</v>
      </c>
      <c r="F109" s="419">
        <f t="shared" si="2"/>
        <v>88.441450912810183</v>
      </c>
    </row>
    <row r="110" spans="1:10" ht="26.25" customHeight="1" x14ac:dyDescent="0.4">
      <c r="A110" s="265" t="s">
        <v>86</v>
      </c>
      <c r="B110" s="266">
        <v>1</v>
      </c>
      <c r="C110" s="412">
        <v>3</v>
      </c>
      <c r="D110" s="414">
        <v>9951924</v>
      </c>
      <c r="E110" s="392">
        <f t="shared" si="1"/>
        <v>265.25031023551009</v>
      </c>
      <c r="F110" s="419">
        <f t="shared" si="2"/>
        <v>88.416770078503362</v>
      </c>
    </row>
    <row r="111" spans="1:10" ht="26.25" customHeight="1" x14ac:dyDescent="0.4">
      <c r="A111" s="265" t="s">
        <v>87</v>
      </c>
      <c r="B111" s="266">
        <v>1</v>
      </c>
      <c r="C111" s="412">
        <v>4</v>
      </c>
      <c r="D111" s="414">
        <v>10001717</v>
      </c>
      <c r="E111" s="392">
        <f t="shared" si="1"/>
        <v>266.57745146946212</v>
      </c>
      <c r="F111" s="419">
        <f t="shared" si="2"/>
        <v>88.859150489820706</v>
      </c>
    </row>
    <row r="112" spans="1:10" ht="26.25" customHeight="1" x14ac:dyDescent="0.4">
      <c r="A112" s="265" t="s">
        <v>88</v>
      </c>
      <c r="B112" s="266">
        <v>1</v>
      </c>
      <c r="C112" s="412">
        <v>5</v>
      </c>
      <c r="D112" s="414">
        <v>10022998</v>
      </c>
      <c r="E112" s="392">
        <f t="shared" si="1"/>
        <v>267.14465755464943</v>
      </c>
      <c r="F112" s="419">
        <f t="shared" si="2"/>
        <v>89.048219184883138</v>
      </c>
    </row>
    <row r="113" spans="1:10" ht="27" customHeight="1" x14ac:dyDescent="0.4">
      <c r="A113" s="265" t="s">
        <v>90</v>
      </c>
      <c r="B113" s="266">
        <v>1</v>
      </c>
      <c r="C113" s="413">
        <v>6</v>
      </c>
      <c r="D113" s="415">
        <v>9995752</v>
      </c>
      <c r="E113" s="393">
        <f t="shared" si="1"/>
        <v>266.41846531758284</v>
      </c>
      <c r="F113" s="420">
        <f t="shared" si="2"/>
        <v>88.806155105860952</v>
      </c>
    </row>
    <row r="114" spans="1:10" ht="27" customHeight="1" x14ac:dyDescent="0.4">
      <c r="A114" s="265" t="s">
        <v>91</v>
      </c>
      <c r="B114" s="266">
        <v>1</v>
      </c>
      <c r="C114" s="374"/>
      <c r="D114" s="332"/>
      <c r="E114" s="239"/>
      <c r="F114" s="421"/>
    </row>
    <row r="115" spans="1:10" ht="26.25" customHeight="1" x14ac:dyDescent="0.4">
      <c r="A115" s="265" t="s">
        <v>92</v>
      </c>
      <c r="B115" s="266">
        <v>1</v>
      </c>
      <c r="C115" s="374"/>
      <c r="D115" s="398" t="s">
        <v>61</v>
      </c>
      <c r="E115" s="400">
        <f>AVERAGE(E108:E113)</f>
        <v>265.94845889680653</v>
      </c>
      <c r="F115" s="422">
        <f>AVERAGE(F108:F113)</f>
        <v>88.649486298935514</v>
      </c>
    </row>
    <row r="116" spans="1:10" ht="27" customHeight="1" x14ac:dyDescent="0.4">
      <c r="A116" s="265" t="s">
        <v>93</v>
      </c>
      <c r="B116" s="297">
        <f>(B115/B114)*(B113/B112)*(B111/B110)*(B109/B108)*B107</f>
        <v>900</v>
      </c>
      <c r="C116" s="375"/>
      <c r="D116" s="399" t="s">
        <v>74</v>
      </c>
      <c r="E116" s="397">
        <f>STDEV(E108:E113)/E115</f>
        <v>3.3084702884923853E-3</v>
      </c>
      <c r="F116" s="376">
        <f>STDEV(F108:F113)/F115</f>
        <v>3.3084702884923645E-3</v>
      </c>
      <c r="I116" s="239"/>
    </row>
    <row r="117" spans="1:10" ht="27" customHeight="1" x14ac:dyDescent="0.4">
      <c r="A117" s="430" t="s">
        <v>68</v>
      </c>
      <c r="B117" s="431"/>
      <c r="C117" s="377"/>
      <c r="D117" s="336" t="s">
        <v>17</v>
      </c>
      <c r="E117" s="402">
        <f>COUNT(E108:E113)</f>
        <v>6</v>
      </c>
      <c r="F117" s="403">
        <f>COUNT(F108:F113)</f>
        <v>6</v>
      </c>
      <c r="I117" s="239"/>
      <c r="J117" s="370"/>
    </row>
    <row r="118" spans="1:10" ht="26.25" customHeight="1" x14ac:dyDescent="0.3">
      <c r="A118" s="432"/>
      <c r="B118" s="433"/>
      <c r="C118" s="239"/>
      <c r="D118" s="401"/>
      <c r="E118" s="458" t="s">
        <v>113</v>
      </c>
      <c r="F118" s="459"/>
      <c r="G118" s="239"/>
      <c r="H118" s="239"/>
      <c r="I118" s="239"/>
    </row>
    <row r="119" spans="1:10" ht="25.5" customHeight="1" x14ac:dyDescent="0.4">
      <c r="A119" s="386"/>
      <c r="B119" s="261"/>
      <c r="C119" s="239"/>
      <c r="D119" s="399" t="s">
        <v>114</v>
      </c>
      <c r="E119" s="404">
        <f>MIN(E108:E113)</f>
        <v>264.97551606520409</v>
      </c>
      <c r="F119" s="423">
        <f>MIN(F108:F113)</f>
        <v>88.325172021734701</v>
      </c>
      <c r="G119" s="239"/>
      <c r="H119" s="239"/>
      <c r="I119" s="239"/>
    </row>
    <row r="120" spans="1:10" ht="24" customHeight="1" x14ac:dyDescent="0.4">
      <c r="A120" s="386"/>
      <c r="B120" s="261"/>
      <c r="C120" s="239"/>
      <c r="D120" s="308" t="s">
        <v>115</v>
      </c>
      <c r="E120" s="405">
        <f>MAX(E108:E113)</f>
        <v>267.14465755464943</v>
      </c>
      <c r="F120" s="424">
        <f>MAX(F108:F113)</f>
        <v>89.048219184883138</v>
      </c>
      <c r="G120" s="239"/>
      <c r="H120" s="239"/>
      <c r="I120" s="239"/>
    </row>
    <row r="121" spans="1:10" ht="27" customHeight="1" x14ac:dyDescent="0.3">
      <c r="A121" s="386"/>
      <c r="B121" s="261"/>
      <c r="C121" s="239"/>
      <c r="D121" s="239"/>
      <c r="E121" s="239"/>
      <c r="F121" s="332"/>
      <c r="G121" s="239"/>
      <c r="H121" s="239"/>
      <c r="I121" s="239"/>
    </row>
    <row r="122" spans="1:10" ht="25.5" customHeight="1" x14ac:dyDescent="0.3">
      <c r="A122" s="386"/>
      <c r="B122" s="261"/>
      <c r="C122" s="239"/>
      <c r="D122" s="239"/>
      <c r="E122" s="239"/>
      <c r="F122" s="332"/>
      <c r="G122" s="239"/>
      <c r="H122" s="239"/>
      <c r="I122" s="239"/>
    </row>
    <row r="123" spans="1:10" ht="18.75" x14ac:dyDescent="0.3">
      <c r="A123" s="386"/>
      <c r="B123" s="261"/>
      <c r="C123" s="239"/>
      <c r="D123" s="239"/>
      <c r="E123" s="239"/>
      <c r="F123" s="332"/>
      <c r="G123" s="239"/>
      <c r="H123" s="239"/>
      <c r="I123" s="239"/>
    </row>
    <row r="124" spans="1:10" ht="45.75" customHeight="1" x14ac:dyDescent="0.65">
      <c r="A124" s="249" t="s">
        <v>96</v>
      </c>
      <c r="B124" s="338" t="s">
        <v>116</v>
      </c>
      <c r="C124" s="434" t="str">
        <f>B26</f>
        <v>Tenofovir DF</v>
      </c>
      <c r="D124" s="434"/>
      <c r="E124" s="339" t="s">
        <v>117</v>
      </c>
      <c r="F124" s="339"/>
      <c r="G124" s="425">
        <f>F115</f>
        <v>88.649486298935514</v>
      </c>
      <c r="H124" s="239"/>
      <c r="I124" s="239"/>
    </row>
    <row r="125" spans="1:10" ht="45.75" customHeight="1" x14ac:dyDescent="0.65">
      <c r="A125" s="249"/>
      <c r="B125" s="338" t="s">
        <v>118</v>
      </c>
      <c r="C125" s="250" t="s">
        <v>119</v>
      </c>
      <c r="D125" s="425">
        <f>MIN(F108:F113)</f>
        <v>88.325172021734701</v>
      </c>
      <c r="E125" s="350" t="s">
        <v>120</v>
      </c>
      <c r="F125" s="425">
        <f>MAX(F108:F113)</f>
        <v>89.048219184883138</v>
      </c>
      <c r="G125" s="340"/>
      <c r="H125" s="239"/>
      <c r="I125" s="239"/>
    </row>
    <row r="126" spans="1:10" ht="19.5" customHeight="1" x14ac:dyDescent="0.3">
      <c r="A126" s="378"/>
      <c r="B126" s="378"/>
      <c r="C126" s="379"/>
      <c r="D126" s="379"/>
      <c r="E126" s="379"/>
      <c r="F126" s="379"/>
      <c r="G126" s="379"/>
      <c r="H126" s="379"/>
    </row>
    <row r="127" spans="1:10" ht="18.75" x14ac:dyDescent="0.3">
      <c r="B127" s="435" t="s">
        <v>23</v>
      </c>
      <c r="C127" s="435"/>
      <c r="E127" s="345" t="s">
        <v>24</v>
      </c>
      <c r="F127" s="380"/>
      <c r="G127" s="435" t="s">
        <v>25</v>
      </c>
      <c r="H127" s="435"/>
    </row>
    <row r="128" spans="1:10" ht="69.95" customHeight="1" x14ac:dyDescent="0.3">
      <c r="A128" s="381" t="s">
        <v>26</v>
      </c>
      <c r="B128" s="382"/>
      <c r="C128" s="382"/>
      <c r="E128" s="382"/>
      <c r="F128" s="239"/>
      <c r="G128" s="383"/>
      <c r="H128" s="383"/>
    </row>
    <row r="129" spans="1:9" ht="69.95" customHeight="1" x14ac:dyDescent="0.3">
      <c r="A129" s="381" t="s">
        <v>27</v>
      </c>
      <c r="B129" s="384"/>
      <c r="C129" s="384"/>
      <c r="E129" s="384"/>
      <c r="F129" s="239"/>
      <c r="G129" s="385"/>
      <c r="H129" s="385"/>
    </row>
    <row r="130" spans="1:9" ht="18.75" x14ac:dyDescent="0.3">
      <c r="A130" s="331"/>
      <c r="B130" s="331"/>
      <c r="C130" s="332"/>
      <c r="D130" s="332"/>
      <c r="E130" s="332"/>
      <c r="F130" s="335"/>
      <c r="G130" s="332"/>
      <c r="H130" s="332"/>
      <c r="I130" s="239"/>
    </row>
    <row r="131" spans="1:9" ht="18.75" x14ac:dyDescent="0.3">
      <c r="A131" s="331"/>
      <c r="B131" s="331"/>
      <c r="C131" s="332"/>
      <c r="D131" s="332"/>
      <c r="E131" s="332"/>
      <c r="F131" s="335"/>
      <c r="G131" s="332"/>
      <c r="H131" s="332"/>
      <c r="I131" s="239"/>
    </row>
    <row r="132" spans="1:9" ht="18.75" x14ac:dyDescent="0.3">
      <c r="A132" s="331"/>
      <c r="B132" s="331"/>
      <c r="C132" s="332"/>
      <c r="D132" s="332"/>
      <c r="E132" s="332"/>
      <c r="F132" s="335"/>
      <c r="G132" s="332"/>
      <c r="H132" s="332"/>
      <c r="I132" s="239"/>
    </row>
    <row r="133" spans="1:9" ht="18.75" x14ac:dyDescent="0.3">
      <c r="A133" s="331"/>
      <c r="B133" s="331"/>
      <c r="C133" s="332"/>
      <c r="D133" s="332"/>
      <c r="E133" s="332"/>
      <c r="F133" s="335"/>
      <c r="G133" s="332"/>
      <c r="H133" s="332"/>
      <c r="I133" s="239"/>
    </row>
    <row r="134" spans="1:9" ht="18.75" x14ac:dyDescent="0.3">
      <c r="A134" s="331"/>
      <c r="B134" s="331"/>
      <c r="C134" s="332"/>
      <c r="D134" s="332"/>
      <c r="E134" s="332"/>
      <c r="F134" s="335"/>
      <c r="G134" s="332"/>
      <c r="H134" s="332"/>
      <c r="I134" s="239"/>
    </row>
    <row r="135" spans="1:9" ht="18.75" x14ac:dyDescent="0.3">
      <c r="A135" s="331"/>
      <c r="B135" s="331"/>
      <c r="C135" s="332"/>
      <c r="D135" s="332"/>
      <c r="E135" s="332"/>
      <c r="F135" s="335"/>
      <c r="G135" s="332"/>
      <c r="H135" s="332"/>
      <c r="I135" s="239"/>
    </row>
    <row r="136" spans="1:9" ht="18.75" x14ac:dyDescent="0.3">
      <c r="A136" s="331"/>
      <c r="B136" s="331"/>
      <c r="C136" s="332"/>
      <c r="D136" s="332"/>
      <c r="E136" s="332"/>
      <c r="F136" s="335"/>
      <c r="G136" s="332"/>
      <c r="H136" s="332"/>
      <c r="I136" s="239"/>
    </row>
    <row r="137" spans="1:9" ht="18.75" x14ac:dyDescent="0.3">
      <c r="A137" s="331"/>
      <c r="B137" s="331"/>
      <c r="C137" s="332"/>
      <c r="D137" s="332"/>
      <c r="E137" s="332"/>
      <c r="F137" s="335"/>
      <c r="G137" s="332"/>
      <c r="H137" s="332"/>
      <c r="I137" s="239"/>
    </row>
    <row r="138" spans="1:9" ht="18.75" x14ac:dyDescent="0.3">
      <c r="A138" s="331"/>
      <c r="B138" s="331"/>
      <c r="C138" s="332"/>
      <c r="D138" s="332"/>
      <c r="E138" s="332"/>
      <c r="F138" s="335"/>
      <c r="G138" s="332"/>
      <c r="H138" s="332"/>
      <c r="I138" s="239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Uniformity</vt:lpstr>
      <vt:lpstr>SST E</vt:lpstr>
      <vt:lpstr>Emtricitabine</vt:lpstr>
      <vt:lpstr>SST T</vt:lpstr>
      <vt:lpstr>TDF</vt:lpstr>
      <vt:lpstr>Emtricitabine!Print_Area</vt:lpstr>
      <vt:lpstr>'SST E'!Print_Area</vt:lpstr>
      <vt:lpstr>'SST T'!Print_Area</vt:lpstr>
      <vt:lpstr>TDF!Print_Area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2016-12-16T03:08:59Z</cp:lastPrinted>
  <dcterms:created xsi:type="dcterms:W3CDTF">2005-07-05T10:19:27Z</dcterms:created>
  <dcterms:modified xsi:type="dcterms:W3CDTF">2016-12-16T03:09:46Z</dcterms:modified>
</cp:coreProperties>
</file>