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6" yWindow="552" windowWidth="15012" windowHeight="7620"/>
  </bookViews>
  <sheets>
    <sheet name="SST" sheetId="1" r:id="rId1"/>
    <sheet name="Uniformity" sheetId="2" r:id="rId2"/>
    <sheet name="Nevirapine" sheetId="3" r:id="rId3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G68" i="3" l="1"/>
  <c r="G66" i="3"/>
  <c r="G65" i="3"/>
  <c r="G64" i="3"/>
  <c r="G62" i="3"/>
  <c r="G61" i="3"/>
  <c r="G60" i="3"/>
  <c r="H72" i="3"/>
  <c r="B42" i="1"/>
  <c r="B21" i="1"/>
  <c r="C124" i="3" l="1"/>
  <c r="B116" i="3"/>
  <c r="D100" i="3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6" i="2"/>
  <c r="B57" i="3" s="1"/>
  <c r="C45" i="2"/>
  <c r="D41" i="2"/>
  <c r="D37" i="2"/>
  <c r="D33" i="2"/>
  <c r="D31" i="2"/>
  <c r="D29" i="2"/>
  <c r="D27" i="2"/>
  <c r="D2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3" l="1"/>
  <c r="D101" i="3"/>
  <c r="I39" i="3"/>
  <c r="F44" i="3"/>
  <c r="F45" i="3" s="1"/>
  <c r="F46" i="3" s="1"/>
  <c r="D45" i="3"/>
  <c r="E41" i="3" s="1"/>
  <c r="F98" i="3"/>
  <c r="G91" i="3" s="1"/>
  <c r="G92" i="3"/>
  <c r="E39" i="3"/>
  <c r="E38" i="3"/>
  <c r="B69" i="3"/>
  <c r="C50" i="2"/>
  <c r="D97" i="3"/>
  <c r="D98" i="3" s="1"/>
  <c r="D26" i="2"/>
  <c r="D30" i="2"/>
  <c r="D34" i="2"/>
  <c r="D38" i="2"/>
  <c r="D42" i="2"/>
  <c r="B49" i="2"/>
  <c r="D50" i="2"/>
  <c r="E40" i="3"/>
  <c r="D49" i="3"/>
  <c r="G93" i="3"/>
  <c r="D102" i="3"/>
  <c r="D35" i="2"/>
  <c r="D39" i="2"/>
  <c r="D43" i="2"/>
  <c r="C49" i="2"/>
  <c r="D24" i="2"/>
  <c r="D28" i="2"/>
  <c r="D32" i="2"/>
  <c r="D36" i="2"/>
  <c r="D40" i="2"/>
  <c r="D49" i="2"/>
  <c r="E92" i="3" l="1"/>
  <c r="F99" i="3"/>
  <c r="G41" i="3"/>
  <c r="G38" i="3"/>
  <c r="G39" i="3"/>
  <c r="G40" i="3"/>
  <c r="D46" i="3"/>
  <c r="G94" i="3"/>
  <c r="G95" i="3" s="1"/>
  <c r="E42" i="3"/>
  <c r="E91" i="3"/>
  <c r="E94" i="3"/>
  <c r="D99" i="3"/>
  <c r="E93" i="3"/>
  <c r="G42" i="3" l="1"/>
  <c r="D52" i="3"/>
  <c r="D50" i="3"/>
  <c r="G67" i="3" s="1"/>
  <c r="H67" i="3" s="1"/>
  <c r="D103" i="3"/>
  <c r="E95" i="3"/>
  <c r="D105" i="3"/>
  <c r="D51" i="3"/>
  <c r="G69" i="3" l="1"/>
  <c r="H69" i="3" s="1"/>
  <c r="H61" i="3"/>
  <c r="H60" i="3"/>
  <c r="G63" i="3"/>
  <c r="H63" i="3" s="1"/>
  <c r="H66" i="3"/>
  <c r="G70" i="3"/>
  <c r="H70" i="3" s="1"/>
  <c r="H62" i="3"/>
  <c r="G71" i="3"/>
  <c r="H71" i="3" s="1"/>
  <c r="H65" i="3"/>
  <c r="H64" i="3"/>
  <c r="H68" i="3"/>
  <c r="E113" i="3"/>
  <c r="F113" i="3" s="1"/>
  <c r="E111" i="3"/>
  <c r="F111" i="3" s="1"/>
  <c r="E109" i="3"/>
  <c r="F109" i="3" s="1"/>
  <c r="D104" i="3"/>
  <c r="E112" i="3"/>
  <c r="F112" i="3" s="1"/>
  <c r="E110" i="3"/>
  <c r="F110" i="3" s="1"/>
  <c r="E108" i="3"/>
  <c r="G72" i="3" l="1"/>
  <c r="G73" i="3" s="1"/>
  <c r="G74" i="3"/>
  <c r="H74" i="3"/>
  <c r="E120" i="3"/>
  <c r="E117" i="3"/>
  <c r="F108" i="3"/>
  <c r="E115" i="3"/>
  <c r="E116" i="3" s="1"/>
  <c r="E119" i="3"/>
  <c r="G76" i="3" l="1"/>
  <c r="H73" i="3"/>
  <c r="F125" i="3"/>
  <c r="F120" i="3"/>
  <c r="F117" i="3"/>
  <c r="D125" i="3"/>
  <c r="F115" i="3"/>
  <c r="F119" i="3"/>
  <c r="G124" i="3" l="1"/>
  <c r="F116" i="3"/>
</calcChain>
</file>

<file path=xl/sharedStrings.xml><?xml version="1.0" encoding="utf-8"?>
<sst xmlns="http://schemas.openxmlformats.org/spreadsheetml/2006/main" count="238" uniqueCount="131">
  <si>
    <t>HPLC System Suitability Report</t>
  </si>
  <si>
    <t>Analysis Data</t>
  </si>
  <si>
    <t>Assay</t>
  </si>
  <si>
    <t>Sample(s)</t>
  </si>
  <si>
    <t>Reference Substance:</t>
  </si>
  <si>
    <t>NEVIRAPINE 200MG TABLETS USP</t>
  </si>
  <si>
    <t>% age Purity:</t>
  </si>
  <si>
    <t>NDQB201612262</t>
  </si>
  <si>
    <t>Weight (mg):</t>
  </si>
  <si>
    <t>Nevirapine</t>
  </si>
  <si>
    <t>Standard Conc (mg/mL):</t>
  </si>
  <si>
    <t>Each tablet contains: 200 mg of Nevirapine USP.</t>
  </si>
  <si>
    <t>2016-12-14 11:21:07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</si>
  <si>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</si>
  <si>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</si>
  <si>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</si>
  <si>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</si>
  <si>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</si>
  <si>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</si>
  <si>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</si>
  <si>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</si>
  <si>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</si>
  <si>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</si>
  <si>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</si>
  <si>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</si>
  <si>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</si>
  <si>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</si>
  <si>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</si>
  <si>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</si>
  <si>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</si>
  <si>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</si>
  <si>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</si>
  <si>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</si>
  <si>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</si>
  <si>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</si>
  <si>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</si>
  <si>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</si>
  <si>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</si>
  <si>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</si>
  <si>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</si>
  <si>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</si>
  <si>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</si>
  <si>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</si>
  <si>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</si>
  <si>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</si>
  <si>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</si>
  <si>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</si>
  <si>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</si>
  <si>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</si>
  <si>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</si>
  <si>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</si>
  <si>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</si>
  <si>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</si>
  <si>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</si>
  <si>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</si>
  <si>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</si>
  <si>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</si>
  <si>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</si>
  <si>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</si>
  <si>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</si>
  <si>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</si>
  <si>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</si>
  <si>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</si>
  <si>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</si>
  <si>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</si>
  <si>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</si>
  <si>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</si>
  <si>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</si>
  <si>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</si>
  <si>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</si>
  <si>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</si>
  <si>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</si>
  <si>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</si>
  <si>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</si>
  <si>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</si>
  <si>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</si>
  <si>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</si>
  <si>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</si>
  <si>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</si>
  <si>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</si>
  <si>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</si>
  <si>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</si>
  <si>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</si>
  <si>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</si>
  <si>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</si>
  <si>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</si>
  <si>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</si>
  <si>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</si>
  <si>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</si>
  <si>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</si>
  <si>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</si>
  <si>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</si>
  <si>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</si>
  <si>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</si>
  <si>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</si>
  <si>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</si>
  <si>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</si>
  <si>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</si>
  <si>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</si>
  <si>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</si>
  <si>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</si>
  <si>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</si>
  <si>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</si>
  <si>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</si>
  <si>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</si>
  <si>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</si>
  <si>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</si>
  <si>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</si>
  <si>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</si>
  <si>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</si>
  <si>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</si>
  <si>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</si>
  <si>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</si>
  <si>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</si>
  <si>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</si>
  <si>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</si>
  <si>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</si>
  <si>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</si>
  <si>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</si>
  <si>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</si>
  <si>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</si>
  <si>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</si>
  <si>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</si>
  <si>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</si>
  <si>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</si>
  <si>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</si>
  <si>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</si>
  <si>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</si>
  <si>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</si>
  <si>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NEVIRAPINE 200 mg TABLETS USP</t>
  </si>
  <si>
    <t>Average Tablet Weight (mg):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</si>
</sst>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  <numFmt numFmtId="176" formatCode="0.0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36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76" fontId="7" fillId="3" borderId="5" xfId="0" applyNumberFormat="1" applyFont="1" applyFill="1" applyBorder="1" applyAlignment="1" applyProtection="1">
      <alignment horizontal="center"/>
      <protection locked="0"/>
    </xf>
    <xf numFmtId="176" fontId="7" fillId="3" borderId="3" xfId="0" applyNumberFormat="1" applyFont="1" applyFill="1" applyBorder="1" applyAlignment="1" applyProtection="1">
      <alignment horizontal="center"/>
      <protection locked="0"/>
    </xf>
    <xf numFmtId="176" fontId="7" fillId="3" borderId="4" xfId="0" applyNumberFormat="1" applyFont="1" applyFill="1" applyBorder="1" applyAlignment="1" applyProtection="1">
      <alignment horizontal="center"/>
      <protection locked="0"/>
    </xf>
    <xf numFmtId="176" fontId="5" fillId="4" borderId="1" xfId="0" applyNumberFormat="1" applyFont="1" applyFill="1" applyBorder="1" applyAlignment="1">
      <alignment horizontal="center"/>
    </xf>
    <xf numFmtId="2" fontId="11" fillId="2" borderId="21" xfId="0" applyNumberFormat="1" applyFont="1" applyFill="1" applyBorder="1" applyAlignment="1">
      <alignment horizontal="center"/>
    </xf>
    <xf numFmtId="2" fontId="11" fillId="2" borderId="23" xfId="0" applyNumberFormat="1" applyFont="1" applyFill="1" applyBorder="1" applyAlignment="1">
      <alignment horizontal="center"/>
    </xf>
    <xf numFmtId="2" fontId="11" fillId="2" borderId="43" xfId="0" applyNumberFormat="1" applyFont="1" applyFill="1" applyBorder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2" fontId="11" fillId="2" borderId="14" xfId="0" applyNumberFormat="1" applyFont="1" applyFill="1" applyBorder="1" applyAlignment="1">
      <alignment horizontal="center"/>
    </xf>
    <xf numFmtId="2" fontId="11" fillId="2" borderId="15" xfId="0" applyNumberFormat="1" applyFont="1" applyFill="1" applyBorder="1" applyAlignment="1">
      <alignment horizontal="center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topLeftCell="A19" workbookViewId="0">
      <selection activeCell="B22" sqref="B22"/>
    </sheetView>
  </sheetViews>
  <sheetFormatPr defaultRowHeight="13.8" x14ac:dyDescent="0.3"/>
  <cols>
    <col min="1" max="1" width="27.5546875" style="4" customWidth="1"/>
    <col min="2" max="2" width="20.44140625" style="4" customWidth="1"/>
    <col min="3" max="3" width="31.88671875" style="4" customWidth="1"/>
    <col min="4" max="4" width="25.88671875" style="4" customWidth="1"/>
    <col min="5" max="5" width="25.6640625" style="4" customWidth="1"/>
    <col min="6" max="6" width="23.109375" style="4" customWidth="1"/>
    <col min="7" max="7" width="28.44140625" style="4" customWidth="1"/>
    <col min="8" max="8" width="21.5546875" style="4" customWidth="1"/>
    <col min="9" max="9" width="9.10937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5">
      <c r="A15" s="276" t="s">
        <v>0</v>
      </c>
      <c r="B15" s="276"/>
      <c r="C15" s="276"/>
      <c r="D15" s="276"/>
      <c r="E15" s="276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129</v>
      </c>
      <c r="D17" s="9"/>
      <c r="E17" s="10"/>
    </row>
    <row r="18" spans="1:6" ht="16.5" customHeight="1" x14ac:dyDescent="0.3">
      <c r="A18" s="11" t="s">
        <v>4</v>
      </c>
      <c r="B18" s="146" t="s">
        <v>9</v>
      </c>
      <c r="C18" s="10"/>
      <c r="D18" s="10"/>
      <c r="E18" s="10"/>
    </row>
    <row r="19" spans="1:6" ht="16.5" customHeight="1" x14ac:dyDescent="0.3">
      <c r="A19" s="11" t="s">
        <v>6</v>
      </c>
      <c r="B19" s="12">
        <v>96.32</v>
      </c>
      <c r="C19" s="10"/>
      <c r="D19" s="10"/>
      <c r="E19" s="10"/>
    </row>
    <row r="20" spans="1:6" ht="16.5" customHeight="1" x14ac:dyDescent="0.3">
      <c r="A20" s="7" t="s">
        <v>8</v>
      </c>
      <c r="B20" s="12">
        <v>19.55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B20/20*2/100</f>
        <v>1.9550000000000001E-2</v>
      </c>
      <c r="C21" s="10"/>
      <c r="D21" s="10"/>
      <c r="E21" s="10"/>
    </row>
    <row r="22" spans="1:6" ht="15.75" customHeight="1" x14ac:dyDescent="0.3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174124505</v>
      </c>
      <c r="C24" s="18">
        <v>8929.2999999999993</v>
      </c>
      <c r="D24" s="328">
        <v>1.1000000000000001</v>
      </c>
      <c r="E24" s="329">
        <v>5</v>
      </c>
    </row>
    <row r="25" spans="1:6" ht="16.5" customHeight="1" x14ac:dyDescent="0.3">
      <c r="A25" s="17">
        <v>2</v>
      </c>
      <c r="B25" s="18">
        <v>173672355</v>
      </c>
      <c r="C25" s="18">
        <v>8936.6</v>
      </c>
      <c r="D25" s="328">
        <v>1</v>
      </c>
      <c r="E25" s="328">
        <v>5</v>
      </c>
    </row>
    <row r="26" spans="1:6" ht="16.5" customHeight="1" x14ac:dyDescent="0.3">
      <c r="A26" s="17">
        <v>3</v>
      </c>
      <c r="B26" s="18">
        <v>174095029</v>
      </c>
      <c r="C26" s="18">
        <v>8879.9</v>
      </c>
      <c r="D26" s="328">
        <v>1</v>
      </c>
      <c r="E26" s="328">
        <v>5</v>
      </c>
    </row>
    <row r="27" spans="1:6" ht="16.5" customHeight="1" x14ac:dyDescent="0.3">
      <c r="A27" s="17">
        <v>4</v>
      </c>
      <c r="B27" s="18">
        <v>173642203</v>
      </c>
      <c r="C27" s="18">
        <v>8795.5</v>
      </c>
      <c r="D27" s="328">
        <v>1</v>
      </c>
      <c r="E27" s="328">
        <v>5</v>
      </c>
    </row>
    <row r="28" spans="1:6" ht="16.5" customHeight="1" x14ac:dyDescent="0.3">
      <c r="A28" s="17">
        <v>5</v>
      </c>
      <c r="B28" s="18">
        <v>173733680</v>
      </c>
      <c r="C28" s="18">
        <v>8773.4</v>
      </c>
      <c r="D28" s="328">
        <v>1.1000000000000001</v>
      </c>
      <c r="E28" s="328">
        <v>5</v>
      </c>
    </row>
    <row r="29" spans="1:6" ht="16.5" customHeight="1" x14ac:dyDescent="0.3">
      <c r="A29" s="17">
        <v>6</v>
      </c>
      <c r="B29" s="19">
        <v>173676388</v>
      </c>
      <c r="C29" s="327">
        <v>8722</v>
      </c>
      <c r="D29" s="327">
        <v>1</v>
      </c>
      <c r="E29" s="327">
        <v>5</v>
      </c>
    </row>
    <row r="30" spans="1:6" ht="16.5" customHeight="1" x14ac:dyDescent="0.3">
      <c r="A30" s="20" t="s">
        <v>18</v>
      </c>
      <c r="B30" s="21">
        <f>AVERAGE(B24:B29)</f>
        <v>173824026.66666666</v>
      </c>
      <c r="C30" s="330">
        <f>AVERAGE(C24:C29)</f>
        <v>8839.4500000000007</v>
      </c>
      <c r="D30" s="22">
        <f>AVERAGE(D24:D29)</f>
        <v>1.0333333333333332</v>
      </c>
      <c r="E30" s="22">
        <f>AVERAGE(E24:E29)</f>
        <v>5</v>
      </c>
    </row>
    <row r="31" spans="1:6" ht="16.5" customHeight="1" x14ac:dyDescent="0.3">
      <c r="A31" s="23" t="s">
        <v>19</v>
      </c>
      <c r="B31" s="24">
        <f>(STDEV(B24:B29)/B30)</f>
        <v>1.2857627367976292E-3</v>
      </c>
      <c r="C31" s="25"/>
      <c r="D31" s="25"/>
      <c r="E31" s="26"/>
      <c r="F31" s="2"/>
    </row>
    <row r="32" spans="1:6" s="2" customFormat="1" ht="16.5" customHeight="1" x14ac:dyDescent="0.3">
      <c r="A32" s="27" t="s">
        <v>20</v>
      </c>
      <c r="B32" s="28">
        <f>COUNT(B24:B29)</f>
        <v>6</v>
      </c>
      <c r="C32" s="29"/>
      <c r="D32" s="30"/>
      <c r="E32" s="31"/>
    </row>
    <row r="33" spans="1:6" s="2" customFormat="1" ht="15.75" customHeight="1" x14ac:dyDescent="0.3">
      <c r="A33" s="10"/>
      <c r="B33" s="10"/>
      <c r="C33" s="10"/>
      <c r="D33" s="10"/>
      <c r="E33" s="32"/>
    </row>
    <row r="34" spans="1:6" s="2" customFormat="1" ht="16.5" customHeight="1" x14ac:dyDescent="0.3">
      <c r="A34" s="11" t="s">
        <v>21</v>
      </c>
      <c r="B34" s="33" t="s">
        <v>22</v>
      </c>
      <c r="C34" s="34"/>
      <c r="D34" s="34"/>
      <c r="E34" s="35"/>
    </row>
    <row r="35" spans="1:6" ht="16.5" customHeight="1" x14ac:dyDescent="0.3">
      <c r="A35" s="11"/>
      <c r="B35" s="33" t="s">
        <v>23</v>
      </c>
      <c r="C35" s="34"/>
      <c r="D35" s="34"/>
      <c r="E35" s="35"/>
      <c r="F35" s="2"/>
    </row>
    <row r="36" spans="1:6" ht="16.5" customHeight="1" x14ac:dyDescent="0.3">
      <c r="A36" s="11"/>
      <c r="B36" s="36" t="s">
        <v>24</v>
      </c>
      <c r="C36" s="34"/>
      <c r="D36" s="34"/>
      <c r="E36" s="34"/>
    </row>
    <row r="37" spans="1:6" ht="15.75" customHeight="1" x14ac:dyDescent="0.3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275" t="s">
        <v>25</v>
      </c>
    </row>
    <row r="39" spans="1:6" ht="16.5" customHeight="1" x14ac:dyDescent="0.3">
      <c r="A39" s="11" t="s">
        <v>4</v>
      </c>
      <c r="B39" s="9" t="s">
        <v>9</v>
      </c>
      <c r="C39" s="10"/>
      <c r="D39" s="10"/>
      <c r="E39" s="10"/>
    </row>
    <row r="40" spans="1:6" ht="16.5" customHeight="1" x14ac:dyDescent="0.3">
      <c r="A40" s="11" t="s">
        <v>6</v>
      </c>
      <c r="B40" s="12">
        <v>96.32</v>
      </c>
      <c r="C40" s="10"/>
      <c r="D40" s="10"/>
      <c r="E40" s="10"/>
    </row>
    <row r="41" spans="1:6" ht="16.5" customHeight="1" x14ac:dyDescent="0.3">
      <c r="A41" s="7" t="s">
        <v>8</v>
      </c>
      <c r="B41" s="12">
        <v>19.55</v>
      </c>
      <c r="C41" s="10"/>
      <c r="D41" s="10"/>
      <c r="E41" s="10"/>
    </row>
    <row r="42" spans="1:6" ht="16.5" customHeight="1" x14ac:dyDescent="0.3">
      <c r="A42" s="7" t="s">
        <v>10</v>
      </c>
      <c r="B42" s="13">
        <f>B41/20*3/20*10/100</f>
        <v>1.46625E-2</v>
      </c>
      <c r="C42" s="10"/>
      <c r="D42" s="10"/>
      <c r="E42" s="10"/>
    </row>
    <row r="43" spans="1:6" ht="15.75" customHeight="1" x14ac:dyDescent="0.3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174124505</v>
      </c>
      <c r="C45" s="18">
        <v>8929.2999999999993</v>
      </c>
      <c r="D45" s="328">
        <v>1.1000000000000001</v>
      </c>
      <c r="E45" s="329">
        <v>5</v>
      </c>
    </row>
    <row r="46" spans="1:6" ht="16.5" customHeight="1" x14ac:dyDescent="0.3">
      <c r="A46" s="17">
        <v>2</v>
      </c>
      <c r="B46" s="18">
        <v>173672355</v>
      </c>
      <c r="C46" s="18">
        <v>8936.6</v>
      </c>
      <c r="D46" s="328">
        <v>1</v>
      </c>
      <c r="E46" s="328">
        <v>5</v>
      </c>
    </row>
    <row r="47" spans="1:6" ht="16.5" customHeight="1" x14ac:dyDescent="0.3">
      <c r="A47" s="17">
        <v>3</v>
      </c>
      <c r="B47" s="18">
        <v>174095029</v>
      </c>
      <c r="C47" s="18">
        <v>8879.9</v>
      </c>
      <c r="D47" s="328">
        <v>1</v>
      </c>
      <c r="E47" s="328">
        <v>5</v>
      </c>
    </row>
    <row r="48" spans="1:6" ht="16.5" customHeight="1" x14ac:dyDescent="0.3">
      <c r="A48" s="17">
        <v>4</v>
      </c>
      <c r="B48" s="18">
        <v>173642203</v>
      </c>
      <c r="C48" s="18">
        <v>8795.5</v>
      </c>
      <c r="D48" s="328">
        <v>1</v>
      </c>
      <c r="E48" s="328">
        <v>5</v>
      </c>
    </row>
    <row r="49" spans="1:7" ht="16.5" customHeight="1" x14ac:dyDescent="0.3">
      <c r="A49" s="17">
        <v>5</v>
      </c>
      <c r="B49" s="18">
        <v>173733680</v>
      </c>
      <c r="C49" s="18">
        <v>8773.4</v>
      </c>
      <c r="D49" s="328">
        <v>1.1000000000000001</v>
      </c>
      <c r="E49" s="328">
        <v>5</v>
      </c>
    </row>
    <row r="50" spans="1:7" ht="16.5" customHeight="1" x14ac:dyDescent="0.3">
      <c r="A50" s="17">
        <v>6</v>
      </c>
      <c r="B50" s="19">
        <v>173676388</v>
      </c>
      <c r="C50" s="327">
        <v>8722</v>
      </c>
      <c r="D50" s="327">
        <v>1</v>
      </c>
      <c r="E50" s="327">
        <v>5</v>
      </c>
    </row>
    <row r="51" spans="1:7" ht="16.5" customHeight="1" x14ac:dyDescent="0.3">
      <c r="A51" s="20" t="s">
        <v>18</v>
      </c>
      <c r="B51" s="21">
        <f>AVERAGE(B45:B50)</f>
        <v>173824026.66666666</v>
      </c>
      <c r="C51" s="330">
        <f>AVERAGE(C45:C50)</f>
        <v>8839.4500000000007</v>
      </c>
      <c r="D51" s="22">
        <f>AVERAGE(D45:D50)</f>
        <v>1.0333333333333332</v>
      </c>
      <c r="E51" s="22">
        <f>AVERAGE(E45:E50)</f>
        <v>5</v>
      </c>
    </row>
    <row r="52" spans="1:7" ht="16.5" customHeight="1" x14ac:dyDescent="0.3">
      <c r="A52" s="23" t="s">
        <v>19</v>
      </c>
      <c r="B52" s="24">
        <f>(STDEV(B45:B50)/B51)</f>
        <v>1.2857627367976292E-3</v>
      </c>
      <c r="C52" s="25"/>
      <c r="D52" s="25"/>
      <c r="E52" s="26"/>
      <c r="F52" s="2"/>
    </row>
    <row r="53" spans="1:7" s="2" customFormat="1" ht="16.5" customHeight="1" x14ac:dyDescent="0.3">
      <c r="A53" s="27" t="s">
        <v>20</v>
      </c>
      <c r="B53" s="28">
        <f>COUNT(B45:B50)</f>
        <v>6</v>
      </c>
      <c r="C53" s="29"/>
      <c r="D53" s="30"/>
      <c r="E53" s="31"/>
    </row>
    <row r="54" spans="1:7" s="2" customFormat="1" ht="15.75" customHeight="1" x14ac:dyDescent="0.3">
      <c r="A54" s="10"/>
      <c r="B54" s="10"/>
      <c r="C54" s="10"/>
      <c r="D54" s="10"/>
      <c r="E54" s="32"/>
    </row>
    <row r="55" spans="1:7" s="2" customFormat="1" ht="16.5" customHeight="1" x14ac:dyDescent="0.3">
      <c r="A55" s="11" t="s">
        <v>21</v>
      </c>
      <c r="B55" s="33" t="s">
        <v>22</v>
      </c>
      <c r="C55" s="34"/>
      <c r="D55" s="34"/>
      <c r="E55" s="35"/>
    </row>
    <row r="56" spans="1:7" ht="16.5" customHeight="1" x14ac:dyDescent="0.3">
      <c r="A56" s="11"/>
      <c r="B56" s="33" t="s">
        <v>23</v>
      </c>
      <c r="C56" s="34"/>
      <c r="D56" s="34"/>
      <c r="E56" s="35"/>
      <c r="F56" s="2"/>
    </row>
    <row r="57" spans="1:7" ht="16.5" customHeight="1" x14ac:dyDescent="0.3">
      <c r="A57" s="11"/>
      <c r="B57" s="36" t="s">
        <v>24</v>
      </c>
      <c r="C57" s="34"/>
      <c r="D57" s="35"/>
      <c r="E57" s="34"/>
    </row>
    <row r="58" spans="1:7" ht="14.25" customHeight="1" x14ac:dyDescent="0.3">
      <c r="A58" s="37"/>
      <c r="B58" s="38"/>
      <c r="D58" s="39"/>
      <c r="F58" s="40"/>
      <c r="G58" s="40"/>
    </row>
    <row r="59" spans="1:7" ht="15" customHeight="1" x14ac:dyDescent="0.3">
      <c r="B59" s="277" t="s">
        <v>26</v>
      </c>
      <c r="C59" s="277"/>
      <c r="E59" s="41" t="s">
        <v>27</v>
      </c>
      <c r="F59" s="42"/>
      <c r="G59" s="41" t="s">
        <v>28</v>
      </c>
    </row>
    <row r="60" spans="1:7" ht="15" customHeight="1" x14ac:dyDescent="0.3">
      <c r="A60" s="43" t="s">
        <v>29</v>
      </c>
      <c r="B60" s="44"/>
      <c r="C60" s="44"/>
      <c r="E60" s="44"/>
      <c r="F60" s="2"/>
      <c r="G60" s="45"/>
    </row>
    <row r="61" spans="1:7" ht="15" customHeight="1" x14ac:dyDescent="0.3">
      <c r="A61" s="43" t="s">
        <v>30</v>
      </c>
      <c r="B61" s="46"/>
      <c r="C61" s="46"/>
      <c r="E61" s="46"/>
      <c r="F61" s="2"/>
      <c r="G61" s="47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8" workbookViewId="0">
      <selection activeCell="C47" sqref="C47"/>
    </sheetView>
  </sheetViews>
  <sheetFormatPr defaultRowHeight="13.8" x14ac:dyDescent="0.3"/>
  <cols>
    <col min="1" max="1" width="15.5546875" style="1" customWidth="1"/>
    <col min="2" max="2" width="18.44140625" style="1" customWidth="1"/>
    <col min="3" max="3" width="14.33203125" style="1" customWidth="1"/>
    <col min="4" max="4" width="15" style="1" customWidth="1"/>
    <col min="5" max="5" width="9.109375" style="1" customWidth="1"/>
    <col min="6" max="6" width="27.88671875" style="1" customWidth="1"/>
    <col min="7" max="7" width="12.33203125" style="1" customWidth="1"/>
    <col min="8" max="8" width="9.109375" style="1" customWidth="1"/>
  </cols>
  <sheetData>
    <row r="10" spans="1:7" ht="13.5" customHeight="1" x14ac:dyDescent="0.3"/>
    <row r="11" spans="1:7" ht="13.5" customHeight="1" x14ac:dyDescent="0.3">
      <c r="A11" s="281" t="s">
        <v>31</v>
      </c>
      <c r="B11" s="282"/>
      <c r="C11" s="282"/>
      <c r="D11" s="282"/>
      <c r="E11" s="282"/>
      <c r="F11" s="283"/>
      <c r="G11" s="87"/>
    </row>
    <row r="12" spans="1:7" ht="16.5" customHeight="1" x14ac:dyDescent="0.3">
      <c r="A12" s="280" t="s">
        <v>32</v>
      </c>
      <c r="B12" s="280"/>
      <c r="C12" s="280"/>
      <c r="D12" s="280"/>
      <c r="E12" s="280"/>
      <c r="F12" s="280"/>
      <c r="G12" s="86"/>
    </row>
    <row r="14" spans="1:7" ht="16.5" customHeight="1" x14ac:dyDescent="0.3">
      <c r="A14" s="285" t="s">
        <v>33</v>
      </c>
      <c r="B14" s="285"/>
      <c r="C14" s="56" t="s">
        <v>5</v>
      </c>
    </row>
    <row r="15" spans="1:7" ht="16.5" customHeight="1" x14ac:dyDescent="0.3">
      <c r="A15" s="285" t="s">
        <v>34</v>
      </c>
      <c r="B15" s="285"/>
      <c r="C15" s="56" t="s">
        <v>7</v>
      </c>
    </row>
    <row r="16" spans="1:7" ht="16.5" customHeight="1" x14ac:dyDescent="0.3">
      <c r="A16" s="285" t="s">
        <v>35</v>
      </c>
      <c r="B16" s="285"/>
      <c r="C16" s="56" t="s">
        <v>9</v>
      </c>
    </row>
    <row r="17" spans="1:5" ht="16.5" customHeight="1" x14ac:dyDescent="0.3">
      <c r="A17" s="285" t="s">
        <v>36</v>
      </c>
      <c r="B17" s="285"/>
      <c r="C17" s="56" t="s">
        <v>11</v>
      </c>
    </row>
    <row r="18" spans="1:5" ht="16.5" customHeight="1" x14ac:dyDescent="0.3">
      <c r="A18" s="285" t="s">
        <v>37</v>
      </c>
      <c r="B18" s="285"/>
      <c r="C18" s="93" t="s">
        <v>12</v>
      </c>
    </row>
    <row r="19" spans="1:5" ht="16.5" customHeight="1" x14ac:dyDescent="0.3">
      <c r="A19" s="285" t="s">
        <v>38</v>
      </c>
      <c r="B19" s="285"/>
      <c r="C19" s="93" t="e">
        <f>#REF!</f>
        <v>#REF!</v>
      </c>
    </row>
    <row r="20" spans="1:5" ht="16.5" customHeight="1" x14ac:dyDescent="0.3">
      <c r="A20" s="58"/>
      <c r="B20" s="58"/>
      <c r="C20" s="73"/>
    </row>
    <row r="21" spans="1:5" ht="16.5" customHeight="1" x14ac:dyDescent="0.3">
      <c r="A21" s="280" t="s">
        <v>1</v>
      </c>
      <c r="B21" s="280"/>
      <c r="C21" s="55" t="s">
        <v>39</v>
      </c>
      <c r="D21" s="62"/>
    </row>
    <row r="22" spans="1:5" ht="15.75" customHeight="1" x14ac:dyDescent="0.3">
      <c r="A22" s="284"/>
      <c r="B22" s="284"/>
      <c r="C22" s="53"/>
      <c r="D22" s="284"/>
      <c r="E22" s="284"/>
    </row>
    <row r="23" spans="1:5" ht="33.75" customHeight="1" x14ac:dyDescent="0.3">
      <c r="C23" s="82" t="s">
        <v>40</v>
      </c>
      <c r="D23" s="81" t="s">
        <v>41</v>
      </c>
      <c r="E23" s="48"/>
    </row>
    <row r="24" spans="1:5" ht="15.75" customHeight="1" x14ac:dyDescent="0.3">
      <c r="C24" s="91">
        <v>832.1</v>
      </c>
      <c r="D24" s="83">
        <f t="shared" ref="D24:D43" si="0">(C24-$C$46)/$C$46</f>
        <v>3.9322123659472873E-2</v>
      </c>
      <c r="E24" s="49"/>
    </row>
    <row r="25" spans="1:5" ht="15.75" customHeight="1" x14ac:dyDescent="0.3">
      <c r="C25" s="91">
        <v>820.15</v>
      </c>
      <c r="D25" s="84">
        <f t="shared" si="0"/>
        <v>2.4396153971057117E-2</v>
      </c>
      <c r="E25" s="49"/>
    </row>
    <row r="26" spans="1:5" ht="15.75" customHeight="1" x14ac:dyDescent="0.3">
      <c r="C26" s="91">
        <v>803.53</v>
      </c>
      <c r="D26" s="84">
        <f t="shared" si="0"/>
        <v>3.6371902705157849E-3</v>
      </c>
      <c r="E26" s="49"/>
    </row>
    <row r="27" spans="1:5" ht="15.75" customHeight="1" x14ac:dyDescent="0.3">
      <c r="C27" s="91">
        <v>806.05</v>
      </c>
      <c r="D27" s="84">
        <f t="shared" si="0"/>
        <v>6.784758773846938E-3</v>
      </c>
      <c r="E27" s="49"/>
    </row>
    <row r="28" spans="1:5" ht="15.75" customHeight="1" x14ac:dyDescent="0.3">
      <c r="C28" s="91">
        <v>801.39</v>
      </c>
      <c r="D28" s="84">
        <f t="shared" si="0"/>
        <v>9.642551129250413E-4</v>
      </c>
      <c r="E28" s="49"/>
    </row>
    <row r="29" spans="1:5" ht="15.75" customHeight="1" x14ac:dyDescent="0.3">
      <c r="C29" s="91">
        <v>794.6</v>
      </c>
      <c r="D29" s="84">
        <f t="shared" si="0"/>
        <v>-7.5166933543839151E-3</v>
      </c>
      <c r="E29" s="49"/>
    </row>
    <row r="30" spans="1:5" ht="15.75" customHeight="1" x14ac:dyDescent="0.3">
      <c r="C30" s="91">
        <v>802.92</v>
      </c>
      <c r="D30" s="84">
        <f t="shared" si="0"/>
        <v>2.8752788470903642E-3</v>
      </c>
      <c r="E30" s="49"/>
    </row>
    <row r="31" spans="1:5" ht="15.75" customHeight="1" x14ac:dyDescent="0.3">
      <c r="C31" s="91">
        <v>796.09</v>
      </c>
      <c r="D31" s="84">
        <f t="shared" si="0"/>
        <v>-5.6556310250333273E-3</v>
      </c>
      <c r="E31" s="49"/>
    </row>
    <row r="32" spans="1:5" ht="15.75" customHeight="1" x14ac:dyDescent="0.3">
      <c r="C32" s="91">
        <v>801.36</v>
      </c>
      <c r="D32" s="84">
        <f t="shared" si="0"/>
        <v>9.2678405931398986E-4</v>
      </c>
      <c r="E32" s="49"/>
    </row>
    <row r="33" spans="1:7" ht="15.75" customHeight="1" x14ac:dyDescent="0.3">
      <c r="C33" s="91">
        <v>806.73</v>
      </c>
      <c r="D33" s="84">
        <f t="shared" si="0"/>
        <v>7.6341026556982876E-3</v>
      </c>
      <c r="E33" s="49"/>
    </row>
    <row r="34" spans="1:7" ht="15.75" customHeight="1" x14ac:dyDescent="0.3">
      <c r="C34" s="91">
        <v>792.06</v>
      </c>
      <c r="D34" s="84">
        <f t="shared" si="0"/>
        <v>-1.0689242560122578E-2</v>
      </c>
      <c r="E34" s="49"/>
    </row>
    <row r="35" spans="1:7" ht="15.75" customHeight="1" x14ac:dyDescent="0.3">
      <c r="C35" s="91">
        <v>789.36</v>
      </c>
      <c r="D35" s="84">
        <f t="shared" si="0"/>
        <v>-1.4061637385120182E-2</v>
      </c>
      <c r="E35" s="49"/>
    </row>
    <row r="36" spans="1:7" ht="15.75" customHeight="1" x14ac:dyDescent="0.3">
      <c r="C36" s="91">
        <v>790.78</v>
      </c>
      <c r="D36" s="84">
        <f t="shared" si="0"/>
        <v>-1.2288007514195523E-2</v>
      </c>
      <c r="E36" s="49"/>
    </row>
    <row r="37" spans="1:7" ht="15.75" customHeight="1" x14ac:dyDescent="0.3">
      <c r="C37" s="91">
        <v>809.21</v>
      </c>
      <c r="D37" s="84">
        <f t="shared" si="0"/>
        <v>1.0731709754214705E-2</v>
      </c>
      <c r="E37" s="49"/>
    </row>
    <row r="38" spans="1:7" ht="15.75" customHeight="1" x14ac:dyDescent="0.3">
      <c r="C38" s="91">
        <v>776.6</v>
      </c>
      <c r="D38" s="84">
        <f t="shared" si="0"/>
        <v>-2.9999325521035174E-2</v>
      </c>
      <c r="E38" s="49"/>
    </row>
    <row r="39" spans="1:7" ht="15.75" customHeight="1" x14ac:dyDescent="0.3">
      <c r="C39" s="91">
        <v>791.93</v>
      </c>
      <c r="D39" s="84">
        <f t="shared" si="0"/>
        <v>-1.085161712577061E-2</v>
      </c>
      <c r="E39" s="49"/>
    </row>
    <row r="40" spans="1:7" ht="15.75" customHeight="1" x14ac:dyDescent="0.3">
      <c r="C40" s="91">
        <v>793.52</v>
      </c>
      <c r="D40" s="84">
        <f t="shared" si="0"/>
        <v>-8.8656512843830419E-3</v>
      </c>
      <c r="E40" s="49"/>
    </row>
    <row r="41" spans="1:7" ht="15.75" customHeight="1" x14ac:dyDescent="0.3">
      <c r="C41" s="91">
        <v>794.91</v>
      </c>
      <c r="D41" s="84">
        <f t="shared" si="0"/>
        <v>-7.1294924670694338E-3</v>
      </c>
      <c r="E41" s="49"/>
    </row>
    <row r="42" spans="1:7" ht="15.75" customHeight="1" x14ac:dyDescent="0.3">
      <c r="C42" s="91">
        <v>803.3</v>
      </c>
      <c r="D42" s="84">
        <f t="shared" si="0"/>
        <v>3.3499121928307739E-3</v>
      </c>
      <c r="E42" s="49"/>
    </row>
    <row r="43" spans="1:7" ht="16.5" customHeight="1" x14ac:dyDescent="0.3">
      <c r="C43" s="92">
        <v>805.77</v>
      </c>
      <c r="D43" s="85">
        <f t="shared" si="0"/>
        <v>6.4350289401435079E-3</v>
      </c>
      <c r="E43" s="49"/>
    </row>
    <row r="44" spans="1:7" ht="16.5" customHeight="1" x14ac:dyDescent="0.3">
      <c r="C44" s="50"/>
      <c r="D44" s="49"/>
      <c r="E44" s="51"/>
    </row>
    <row r="45" spans="1:7" ht="16.5" customHeight="1" x14ac:dyDescent="0.3">
      <c r="B45" s="78" t="s">
        <v>42</v>
      </c>
      <c r="C45" s="79">
        <f>SUM(C24:C44)</f>
        <v>16012.360000000002</v>
      </c>
      <c r="D45" s="74"/>
      <c r="E45" s="50"/>
    </row>
    <row r="46" spans="1:7" ht="17.25" customHeight="1" x14ac:dyDescent="0.3">
      <c r="B46" s="78" t="s">
        <v>43</v>
      </c>
      <c r="C46" s="80">
        <f>AVERAGE(C24:C44)</f>
        <v>800.61800000000017</v>
      </c>
      <c r="E46" s="52"/>
    </row>
    <row r="47" spans="1:7" ht="17.25" customHeight="1" x14ac:dyDescent="0.3">
      <c r="A47" s="56"/>
      <c r="B47" s="75"/>
      <c r="D47" s="54"/>
      <c r="E47" s="52"/>
    </row>
    <row r="48" spans="1:7" ht="33.75" customHeight="1" x14ac:dyDescent="0.3">
      <c r="B48" s="88" t="s">
        <v>43</v>
      </c>
      <c r="C48" s="81" t="s">
        <v>44</v>
      </c>
      <c r="D48" s="76"/>
      <c r="G48" s="54"/>
    </row>
    <row r="49" spans="1:6" ht="17.25" customHeight="1" x14ac:dyDescent="0.3">
      <c r="B49" s="278">
        <f>C46</f>
        <v>800.61800000000017</v>
      </c>
      <c r="C49" s="89">
        <f>-IF(C46&lt;=80,10%,IF(C46&lt;250,7.5%,5%))</f>
        <v>-0.05</v>
      </c>
      <c r="D49" s="77">
        <f>IF(C46&lt;=80,C46*0.9,IF(C46&lt;250,C46*0.925,C46*0.95))</f>
        <v>760.58710000000008</v>
      </c>
    </row>
    <row r="50" spans="1:6" ht="17.25" customHeight="1" x14ac:dyDescent="0.3">
      <c r="B50" s="279"/>
      <c r="C50" s="90">
        <f>IF(C46&lt;=80, 10%, IF(C46&lt;250, 7.5%, 5%))</f>
        <v>0.05</v>
      </c>
      <c r="D50" s="77">
        <f>IF(C46&lt;=80, C46*1.1, IF(C46&lt;250, C46*1.075, C46*1.05))</f>
        <v>840.64890000000025</v>
      </c>
    </row>
    <row r="51" spans="1:6" ht="16.5" customHeight="1" x14ac:dyDescent="0.3">
      <c r="A51" s="59"/>
      <c r="B51" s="60"/>
      <c r="C51" s="56"/>
      <c r="D51" s="61"/>
      <c r="E51" s="56"/>
      <c r="F51" s="62"/>
    </row>
    <row r="52" spans="1:6" ht="16.5" customHeight="1" x14ac:dyDescent="0.3">
      <c r="A52" s="56"/>
      <c r="B52" s="63" t="s">
        <v>26</v>
      </c>
      <c r="C52" s="63"/>
      <c r="D52" s="64" t="s">
        <v>27</v>
      </c>
      <c r="E52" s="65"/>
      <c r="F52" s="64" t="s">
        <v>28</v>
      </c>
    </row>
    <row r="53" spans="1:6" ht="34.5" customHeight="1" x14ac:dyDescent="0.3">
      <c r="A53" s="66" t="s">
        <v>29</v>
      </c>
      <c r="B53" s="67"/>
      <c r="C53" s="68"/>
      <c r="D53" s="67"/>
      <c r="E53" s="57"/>
      <c r="F53" s="69"/>
    </row>
    <row r="54" spans="1:6" ht="34.5" customHeight="1" x14ac:dyDescent="0.3">
      <c r="A54" s="66" t="s">
        <v>30</v>
      </c>
      <c r="B54" s="70"/>
      <c r="C54" s="71"/>
      <c r="D54" s="70"/>
      <c r="E54" s="57"/>
      <c r="F54" s="72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opLeftCell="A99" zoomScale="80" zoomScaleNormal="80" zoomScalePageLayoutView="41" workbookViewId="0">
      <selection activeCell="D110" sqref="D110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286" t="s">
        <v>45</v>
      </c>
      <c r="B1" s="286"/>
      <c r="C1" s="286"/>
      <c r="D1" s="286"/>
      <c r="E1" s="286"/>
      <c r="F1" s="286"/>
      <c r="G1" s="286"/>
      <c r="H1" s="286"/>
      <c r="I1" s="286"/>
    </row>
    <row r="2" spans="1:9" ht="18.75" customHeight="1" x14ac:dyDescent="0.3">
      <c r="A2" s="286"/>
      <c r="B2" s="286"/>
      <c r="C2" s="286"/>
      <c r="D2" s="286"/>
      <c r="E2" s="286"/>
      <c r="F2" s="286"/>
      <c r="G2" s="286"/>
      <c r="H2" s="286"/>
      <c r="I2" s="286"/>
    </row>
    <row r="3" spans="1:9" ht="18.75" customHeight="1" x14ac:dyDescent="0.3">
      <c r="A3" s="286"/>
      <c r="B3" s="286"/>
      <c r="C3" s="286"/>
      <c r="D3" s="286"/>
      <c r="E3" s="286"/>
      <c r="F3" s="286"/>
      <c r="G3" s="286"/>
      <c r="H3" s="286"/>
      <c r="I3" s="286"/>
    </row>
    <row r="4" spans="1:9" ht="18.75" customHeight="1" x14ac:dyDescent="0.3">
      <c r="A4" s="286"/>
      <c r="B4" s="286"/>
      <c r="C4" s="286"/>
      <c r="D4" s="286"/>
      <c r="E4" s="286"/>
      <c r="F4" s="286"/>
      <c r="G4" s="286"/>
      <c r="H4" s="286"/>
      <c r="I4" s="286"/>
    </row>
    <row r="5" spans="1:9" ht="18.75" customHeight="1" x14ac:dyDescent="0.3">
      <c r="A5" s="286"/>
      <c r="B5" s="286"/>
      <c r="C5" s="286"/>
      <c r="D5" s="286"/>
      <c r="E5" s="286"/>
      <c r="F5" s="286"/>
      <c r="G5" s="286"/>
      <c r="H5" s="286"/>
      <c r="I5" s="286"/>
    </row>
    <row r="6" spans="1:9" ht="18.75" customHeight="1" x14ac:dyDescent="0.3">
      <c r="A6" s="286"/>
      <c r="B6" s="286"/>
      <c r="C6" s="286"/>
      <c r="D6" s="286"/>
      <c r="E6" s="286"/>
      <c r="F6" s="286"/>
      <c r="G6" s="286"/>
      <c r="H6" s="286"/>
      <c r="I6" s="286"/>
    </row>
    <row r="7" spans="1:9" ht="18.75" customHeight="1" x14ac:dyDescent="0.3">
      <c r="A7" s="286"/>
      <c r="B7" s="286"/>
      <c r="C7" s="286"/>
      <c r="D7" s="286"/>
      <c r="E7" s="286"/>
      <c r="F7" s="286"/>
      <c r="G7" s="286"/>
      <c r="H7" s="286"/>
      <c r="I7" s="286"/>
    </row>
    <row r="8" spans="1:9" x14ac:dyDescent="0.3">
      <c r="A8" s="287" t="s">
        <v>46</v>
      </c>
      <c r="B8" s="287"/>
      <c r="C8" s="287"/>
      <c r="D8" s="287"/>
      <c r="E8" s="287"/>
      <c r="F8" s="287"/>
      <c r="G8" s="287"/>
      <c r="H8" s="287"/>
      <c r="I8" s="287"/>
    </row>
    <row r="9" spans="1:9" x14ac:dyDescent="0.3">
      <c r="A9" s="287"/>
      <c r="B9" s="287"/>
      <c r="C9" s="287"/>
      <c r="D9" s="287"/>
      <c r="E9" s="287"/>
      <c r="F9" s="287"/>
      <c r="G9" s="287"/>
      <c r="H9" s="287"/>
      <c r="I9" s="287"/>
    </row>
    <row r="10" spans="1:9" x14ac:dyDescent="0.3">
      <c r="A10" s="287"/>
      <c r="B10" s="287"/>
      <c r="C10" s="287"/>
      <c r="D10" s="287"/>
      <c r="E10" s="287"/>
      <c r="F10" s="287"/>
      <c r="G10" s="287"/>
      <c r="H10" s="287"/>
      <c r="I10" s="287"/>
    </row>
    <row r="11" spans="1:9" x14ac:dyDescent="0.3">
      <c r="A11" s="287"/>
      <c r="B11" s="287"/>
      <c r="C11" s="287"/>
      <c r="D11" s="287"/>
      <c r="E11" s="287"/>
      <c r="F11" s="287"/>
      <c r="G11" s="287"/>
      <c r="H11" s="287"/>
      <c r="I11" s="287"/>
    </row>
    <row r="12" spans="1:9" x14ac:dyDescent="0.3">
      <c r="A12" s="287"/>
      <c r="B12" s="287"/>
      <c r="C12" s="287"/>
      <c r="D12" s="287"/>
      <c r="E12" s="287"/>
      <c r="F12" s="287"/>
      <c r="G12" s="287"/>
      <c r="H12" s="287"/>
      <c r="I12" s="287"/>
    </row>
    <row r="13" spans="1:9" x14ac:dyDescent="0.3">
      <c r="A13" s="287"/>
      <c r="B13" s="287"/>
      <c r="C13" s="287"/>
      <c r="D13" s="287"/>
      <c r="E13" s="287"/>
      <c r="F13" s="287"/>
      <c r="G13" s="287"/>
      <c r="H13" s="287"/>
      <c r="I13" s="287"/>
    </row>
    <row r="14" spans="1:9" x14ac:dyDescent="0.3">
      <c r="A14" s="287"/>
      <c r="B14" s="287"/>
      <c r="C14" s="287"/>
      <c r="D14" s="287"/>
      <c r="E14" s="287"/>
      <c r="F14" s="287"/>
      <c r="G14" s="287"/>
      <c r="H14" s="287"/>
      <c r="I14" s="287"/>
    </row>
    <row r="15" spans="1:9" ht="19.5" customHeight="1" x14ac:dyDescent="0.35">
      <c r="A15" s="94"/>
    </row>
    <row r="16" spans="1:9" ht="19.5" customHeight="1" x14ac:dyDescent="0.35">
      <c r="A16" s="319" t="s">
        <v>31</v>
      </c>
      <c r="B16" s="320"/>
      <c r="C16" s="320"/>
      <c r="D16" s="320"/>
      <c r="E16" s="320"/>
      <c r="F16" s="320"/>
      <c r="G16" s="320"/>
      <c r="H16" s="321"/>
    </row>
    <row r="17" spans="1:14" ht="20.25" customHeight="1" x14ac:dyDescent="0.3">
      <c r="A17" s="322" t="s">
        <v>47</v>
      </c>
      <c r="B17" s="322"/>
      <c r="C17" s="322"/>
      <c r="D17" s="322"/>
      <c r="E17" s="322"/>
      <c r="F17" s="322"/>
      <c r="G17" s="322"/>
      <c r="H17" s="322"/>
    </row>
    <row r="18" spans="1:14" ht="26.25" customHeight="1" x14ac:dyDescent="0.5">
      <c r="A18" s="96" t="s">
        <v>33</v>
      </c>
      <c r="B18" s="318" t="s">
        <v>129</v>
      </c>
      <c r="C18" s="318"/>
      <c r="D18" s="242"/>
      <c r="E18" s="97"/>
      <c r="F18" s="98"/>
      <c r="G18" s="98"/>
      <c r="H18" s="98"/>
    </row>
    <row r="19" spans="1:14" ht="26.25" customHeight="1" x14ac:dyDescent="0.5">
      <c r="A19" s="96" t="s">
        <v>34</v>
      </c>
      <c r="B19" s="99" t="s">
        <v>7</v>
      </c>
      <c r="C19" s="246">
        <v>1</v>
      </c>
      <c r="D19" s="98"/>
      <c r="E19" s="98"/>
      <c r="F19" s="98"/>
      <c r="G19" s="98"/>
      <c r="H19" s="98"/>
    </row>
    <row r="20" spans="1:14" ht="26.25" customHeight="1" x14ac:dyDescent="0.5">
      <c r="A20" s="96" t="s">
        <v>35</v>
      </c>
      <c r="B20" s="323" t="s">
        <v>9</v>
      </c>
      <c r="C20" s="323"/>
      <c r="D20" s="98"/>
      <c r="E20" s="98"/>
      <c r="F20" s="98"/>
      <c r="G20" s="98"/>
      <c r="H20" s="98"/>
    </row>
    <row r="21" spans="1:14" ht="26.25" customHeight="1" x14ac:dyDescent="0.5">
      <c r="A21" s="96" t="s">
        <v>36</v>
      </c>
      <c r="B21" s="323" t="s">
        <v>11</v>
      </c>
      <c r="C21" s="323"/>
      <c r="D21" s="323"/>
      <c r="E21" s="323"/>
      <c r="F21" s="323"/>
      <c r="G21" s="323"/>
      <c r="H21" s="323"/>
      <c r="I21" s="100"/>
    </row>
    <row r="22" spans="1:14" ht="26.25" customHeight="1" x14ac:dyDescent="0.5">
      <c r="A22" s="96" t="s">
        <v>37</v>
      </c>
      <c r="B22" s="101" t="s">
        <v>12</v>
      </c>
      <c r="C22" s="98"/>
      <c r="D22" s="98"/>
      <c r="E22" s="98"/>
      <c r="F22" s="98"/>
      <c r="G22" s="98"/>
      <c r="H22" s="98"/>
    </row>
    <row r="23" spans="1:14" ht="26.25" customHeight="1" x14ac:dyDescent="0.5">
      <c r="A23" s="96" t="s">
        <v>38</v>
      </c>
      <c r="B23" s="101"/>
      <c r="C23" s="98"/>
      <c r="D23" s="98"/>
      <c r="E23" s="98"/>
      <c r="F23" s="98"/>
      <c r="G23" s="98"/>
      <c r="H23" s="98"/>
    </row>
    <row r="24" spans="1:14" ht="18" x14ac:dyDescent="0.35">
      <c r="A24" s="96"/>
      <c r="B24" s="102"/>
    </row>
    <row r="25" spans="1:14" ht="18" x14ac:dyDescent="0.35">
      <c r="A25" s="103" t="s">
        <v>1</v>
      </c>
      <c r="B25" s="102"/>
    </row>
    <row r="26" spans="1:14" ht="26.25" customHeight="1" x14ac:dyDescent="0.45">
      <c r="A26" s="104" t="s">
        <v>4</v>
      </c>
      <c r="B26" s="318" t="s">
        <v>9</v>
      </c>
      <c r="C26" s="318"/>
    </row>
    <row r="27" spans="1:14" ht="26.25" customHeight="1" x14ac:dyDescent="0.5">
      <c r="A27" s="105" t="s">
        <v>48</v>
      </c>
      <c r="B27" s="324"/>
      <c r="C27" s="324"/>
    </row>
    <row r="28" spans="1:14" ht="27" customHeight="1" x14ac:dyDescent="0.45">
      <c r="A28" s="105" t="s">
        <v>6</v>
      </c>
      <c r="B28" s="106">
        <v>96.32</v>
      </c>
    </row>
    <row r="29" spans="1:14" s="14" customFormat="1" ht="27" customHeight="1" x14ac:dyDescent="0.5">
      <c r="A29" s="105" t="s">
        <v>49</v>
      </c>
      <c r="B29" s="107">
        <v>0</v>
      </c>
      <c r="C29" s="294" t="s">
        <v>50</v>
      </c>
      <c r="D29" s="295"/>
      <c r="E29" s="295"/>
      <c r="F29" s="295"/>
      <c r="G29" s="296"/>
      <c r="I29" s="108"/>
      <c r="J29" s="108"/>
      <c r="K29" s="108"/>
      <c r="L29" s="108"/>
    </row>
    <row r="30" spans="1:14" s="14" customFormat="1" ht="19.5" customHeight="1" x14ac:dyDescent="0.35">
      <c r="A30" s="105" t="s">
        <v>51</v>
      </c>
      <c r="B30" s="109">
        <f>B28-B29</f>
        <v>96.32</v>
      </c>
      <c r="C30" s="110"/>
      <c r="D30" s="110"/>
      <c r="E30" s="110"/>
      <c r="F30" s="110"/>
      <c r="G30" s="111"/>
      <c r="I30" s="108"/>
      <c r="J30" s="108"/>
      <c r="K30" s="108"/>
      <c r="L30" s="108"/>
    </row>
    <row r="31" spans="1:14" s="14" customFormat="1" ht="27" customHeight="1" x14ac:dyDescent="0.45">
      <c r="A31" s="105" t="s">
        <v>52</v>
      </c>
      <c r="B31" s="112">
        <v>1</v>
      </c>
      <c r="C31" s="297" t="s">
        <v>53</v>
      </c>
      <c r="D31" s="298"/>
      <c r="E31" s="298"/>
      <c r="F31" s="298"/>
      <c r="G31" s="298"/>
      <c r="H31" s="299"/>
      <c r="I31" s="108"/>
      <c r="J31" s="108"/>
      <c r="K31" s="108"/>
      <c r="L31" s="108"/>
    </row>
    <row r="32" spans="1:14" s="14" customFormat="1" ht="27" customHeight="1" x14ac:dyDescent="0.45">
      <c r="A32" s="105" t="s">
        <v>54</v>
      </c>
      <c r="B32" s="112">
        <v>1</v>
      </c>
      <c r="C32" s="297" t="s">
        <v>55</v>
      </c>
      <c r="D32" s="298"/>
      <c r="E32" s="298"/>
      <c r="F32" s="298"/>
      <c r="G32" s="298"/>
      <c r="H32" s="299"/>
      <c r="I32" s="108"/>
      <c r="J32" s="108"/>
      <c r="K32" s="108"/>
      <c r="L32" s="113"/>
      <c r="M32" s="113"/>
      <c r="N32" s="114"/>
    </row>
    <row r="33" spans="1:14" s="14" customFormat="1" ht="17.25" customHeight="1" x14ac:dyDescent="0.35">
      <c r="A33" s="105"/>
      <c r="B33" s="115"/>
      <c r="C33" s="116"/>
      <c r="D33" s="116"/>
      <c r="E33" s="116"/>
      <c r="F33" s="116"/>
      <c r="G33" s="116"/>
      <c r="H33" s="116"/>
      <c r="I33" s="108"/>
      <c r="J33" s="108"/>
      <c r="K33" s="108"/>
      <c r="L33" s="113"/>
      <c r="M33" s="113"/>
      <c r="N33" s="114"/>
    </row>
    <row r="34" spans="1:14" s="14" customFormat="1" ht="18" x14ac:dyDescent="0.35">
      <c r="A34" s="105" t="s">
        <v>56</v>
      </c>
      <c r="B34" s="117">
        <f>B31/B32</f>
        <v>1</v>
      </c>
      <c r="C34" s="95" t="s">
        <v>57</v>
      </c>
      <c r="D34" s="95"/>
      <c r="E34" s="95"/>
      <c r="F34" s="95"/>
      <c r="G34" s="95"/>
      <c r="I34" s="108"/>
      <c r="J34" s="108"/>
      <c r="K34" s="108"/>
      <c r="L34" s="113"/>
      <c r="M34" s="113"/>
      <c r="N34" s="114"/>
    </row>
    <row r="35" spans="1:14" s="14" customFormat="1" ht="19.5" customHeight="1" x14ac:dyDescent="0.35">
      <c r="A35" s="105"/>
      <c r="B35" s="109"/>
      <c r="G35" s="95"/>
      <c r="I35" s="108"/>
      <c r="J35" s="108"/>
      <c r="K35" s="108"/>
      <c r="L35" s="113"/>
      <c r="M35" s="113"/>
      <c r="N35" s="114"/>
    </row>
    <row r="36" spans="1:14" s="14" customFormat="1" ht="27" customHeight="1" x14ac:dyDescent="0.45">
      <c r="A36" s="118" t="s">
        <v>58</v>
      </c>
      <c r="B36" s="119">
        <v>20</v>
      </c>
      <c r="C36" s="95"/>
      <c r="D36" s="300" t="s">
        <v>59</v>
      </c>
      <c r="E36" s="325"/>
      <c r="F36" s="300" t="s">
        <v>60</v>
      </c>
      <c r="G36" s="301"/>
      <c r="J36" s="108"/>
      <c r="K36" s="108"/>
      <c r="L36" s="113"/>
      <c r="M36" s="113"/>
      <c r="N36" s="114"/>
    </row>
    <row r="37" spans="1:14" s="14" customFormat="1" ht="27" customHeight="1" x14ac:dyDescent="0.45">
      <c r="A37" s="120" t="s">
        <v>61</v>
      </c>
      <c r="B37" s="121">
        <v>2</v>
      </c>
      <c r="C37" s="122" t="s">
        <v>62</v>
      </c>
      <c r="D37" s="123" t="s">
        <v>63</v>
      </c>
      <c r="E37" s="124" t="s">
        <v>64</v>
      </c>
      <c r="F37" s="123" t="s">
        <v>63</v>
      </c>
      <c r="G37" s="125" t="s">
        <v>64</v>
      </c>
      <c r="I37" s="126" t="s">
        <v>65</v>
      </c>
      <c r="J37" s="108"/>
      <c r="K37" s="108"/>
      <c r="L37" s="113"/>
      <c r="M37" s="113"/>
      <c r="N37" s="114"/>
    </row>
    <row r="38" spans="1:14" s="14" customFormat="1" ht="26.25" customHeight="1" x14ac:dyDescent="0.45">
      <c r="A38" s="120" t="s">
        <v>66</v>
      </c>
      <c r="B38" s="121">
        <v>100</v>
      </c>
      <c r="C38" s="127">
        <v>1</v>
      </c>
      <c r="D38" s="128">
        <v>174862850</v>
      </c>
      <c r="E38" s="129">
        <f>IF(ISBLANK(D38),"-",$D$48/$D$45*D38)</f>
        <v>185722410.80456448</v>
      </c>
      <c r="F38" s="128">
        <v>165293216</v>
      </c>
      <c r="G38" s="130">
        <f>IF(ISBLANK(F38),"-",$D$48/$F$45*F38)</f>
        <v>188373661.15874273</v>
      </c>
      <c r="I38" s="131"/>
      <c r="J38" s="108"/>
      <c r="K38" s="108"/>
      <c r="L38" s="113"/>
      <c r="M38" s="113"/>
      <c r="N38" s="114"/>
    </row>
    <row r="39" spans="1:14" s="14" customFormat="1" ht="26.25" customHeight="1" x14ac:dyDescent="0.45">
      <c r="A39" s="120" t="s">
        <v>67</v>
      </c>
      <c r="B39" s="121">
        <v>1</v>
      </c>
      <c r="C39" s="132">
        <v>2</v>
      </c>
      <c r="D39" s="133">
        <v>178942951</v>
      </c>
      <c r="E39" s="134">
        <f>IF(ISBLANK(D39),"-",$D$48/$D$45*D39)</f>
        <v>190055899.55901468</v>
      </c>
      <c r="F39" s="133">
        <v>171910509</v>
      </c>
      <c r="G39" s="135">
        <f>IF(ISBLANK(F39),"-",$D$48/$F$45*F39)</f>
        <v>195914948.93530896</v>
      </c>
      <c r="I39" s="302">
        <f>ABS((F43/D43*D42)-F42)/D42</f>
        <v>1.6057069700898759E-2</v>
      </c>
      <c r="J39" s="108"/>
      <c r="K39" s="108"/>
      <c r="L39" s="113"/>
      <c r="M39" s="113"/>
      <c r="N39" s="114"/>
    </row>
    <row r="40" spans="1:14" ht="26.25" customHeight="1" x14ac:dyDescent="0.45">
      <c r="A40" s="120" t="s">
        <v>68</v>
      </c>
      <c r="B40" s="121">
        <v>1</v>
      </c>
      <c r="C40" s="132">
        <v>3</v>
      </c>
      <c r="D40" s="133">
        <v>178847929</v>
      </c>
      <c r="E40" s="134">
        <f>IF(ISBLANK(D40),"-",$D$48/$D$45*D40)</f>
        <v>189954976.37882248</v>
      </c>
      <c r="F40" s="133">
        <v>167766062</v>
      </c>
      <c r="G40" s="135">
        <f>IF(ISBLANK(F40),"-",$D$48/$F$45*F40)</f>
        <v>191191798.92491549</v>
      </c>
      <c r="I40" s="302"/>
      <c r="L40" s="113"/>
      <c r="M40" s="113"/>
      <c r="N40" s="136"/>
    </row>
    <row r="41" spans="1:14" ht="27" customHeight="1" x14ac:dyDescent="0.45">
      <c r="A41" s="120" t="s">
        <v>69</v>
      </c>
      <c r="B41" s="121">
        <v>1</v>
      </c>
      <c r="C41" s="137">
        <v>4</v>
      </c>
      <c r="D41" s="138"/>
      <c r="E41" s="139" t="str">
        <f>IF(ISBLANK(D41),"-",$D$48/$D$45*D41)</f>
        <v>-</v>
      </c>
      <c r="F41" s="138"/>
      <c r="G41" s="140" t="str">
        <f>IF(ISBLANK(F41),"-",$D$48/$F$45*F41)</f>
        <v>-</v>
      </c>
      <c r="I41" s="141"/>
      <c r="L41" s="113"/>
      <c r="M41" s="113"/>
      <c r="N41" s="136"/>
    </row>
    <row r="42" spans="1:14" ht="27" customHeight="1" x14ac:dyDescent="0.45">
      <c r="A42" s="120" t="s">
        <v>70</v>
      </c>
      <c r="B42" s="121">
        <v>1</v>
      </c>
      <c r="C42" s="142" t="s">
        <v>71</v>
      </c>
      <c r="D42" s="143">
        <f>AVERAGE(D38:D41)</f>
        <v>177551243.33333334</v>
      </c>
      <c r="E42" s="144">
        <f>AVERAGE(E38:E41)</f>
        <v>188577762.24746719</v>
      </c>
      <c r="F42" s="143">
        <f>AVERAGE(F38:F41)</f>
        <v>168323262.33333334</v>
      </c>
      <c r="G42" s="145">
        <f>AVERAGE(G38:G41)</f>
        <v>191826803.00632238</v>
      </c>
      <c r="H42" s="146"/>
    </row>
    <row r="43" spans="1:14" ht="26.25" customHeight="1" x14ac:dyDescent="0.45">
      <c r="A43" s="120" t="s">
        <v>72</v>
      </c>
      <c r="B43" s="121">
        <v>1</v>
      </c>
      <c r="C43" s="147" t="s">
        <v>73</v>
      </c>
      <c r="D43" s="148">
        <v>19.55</v>
      </c>
      <c r="E43" s="136"/>
      <c r="F43" s="148">
        <v>18.22</v>
      </c>
      <c r="H43" s="146"/>
    </row>
    <row r="44" spans="1:14" ht="26.25" customHeight="1" x14ac:dyDescent="0.45">
      <c r="A44" s="120" t="s">
        <v>74</v>
      </c>
      <c r="B44" s="121">
        <v>1</v>
      </c>
      <c r="C44" s="149" t="s">
        <v>75</v>
      </c>
      <c r="D44" s="150">
        <f>D43*$B$34</f>
        <v>19.55</v>
      </c>
      <c r="E44" s="151"/>
      <c r="F44" s="150">
        <f>F43*$B$34</f>
        <v>18.22</v>
      </c>
      <c r="H44" s="146"/>
    </row>
    <row r="45" spans="1:14" ht="19.5" customHeight="1" x14ac:dyDescent="0.35">
      <c r="A45" s="120" t="s">
        <v>76</v>
      </c>
      <c r="B45" s="152">
        <f>(B44/B43)*(B42/B41)*(B40/B39)*(B38/B37)*B36</f>
        <v>1000</v>
      </c>
      <c r="C45" s="149" t="s">
        <v>77</v>
      </c>
      <c r="D45" s="153">
        <f>D44*$B$30/100</f>
        <v>18.830560000000002</v>
      </c>
      <c r="E45" s="154"/>
      <c r="F45" s="153">
        <f>F44*$B$30/100</f>
        <v>17.549503999999999</v>
      </c>
      <c r="H45" s="146"/>
    </row>
    <row r="46" spans="1:14" ht="19.5" customHeight="1" x14ac:dyDescent="0.35">
      <c r="A46" s="288" t="s">
        <v>78</v>
      </c>
      <c r="B46" s="289"/>
      <c r="C46" s="149" t="s">
        <v>79</v>
      </c>
      <c r="D46" s="155">
        <f>D45/$B$45</f>
        <v>1.8830560000000003E-2</v>
      </c>
      <c r="E46" s="156"/>
      <c r="F46" s="157">
        <f>F45/$B$45</f>
        <v>1.7549504E-2</v>
      </c>
      <c r="H46" s="146"/>
    </row>
    <row r="47" spans="1:14" ht="27" customHeight="1" x14ac:dyDescent="0.45">
      <c r="A47" s="290"/>
      <c r="B47" s="291"/>
      <c r="C47" s="158" t="s">
        <v>80</v>
      </c>
      <c r="D47" s="159">
        <v>0.02</v>
      </c>
      <c r="E47" s="160"/>
      <c r="F47" s="156"/>
      <c r="H47" s="146"/>
    </row>
    <row r="48" spans="1:14" ht="18" x14ac:dyDescent="0.35">
      <c r="C48" s="161" t="s">
        <v>81</v>
      </c>
      <c r="D48" s="153">
        <f>D47*$B$45</f>
        <v>20</v>
      </c>
      <c r="F48" s="162"/>
      <c r="H48" s="146"/>
    </row>
    <row r="49" spans="1:12" ht="19.5" customHeight="1" x14ac:dyDescent="0.35">
      <c r="C49" s="163" t="s">
        <v>82</v>
      </c>
      <c r="D49" s="164">
        <f>D48/B34</f>
        <v>20</v>
      </c>
      <c r="F49" s="162"/>
      <c r="H49" s="146"/>
    </row>
    <row r="50" spans="1:12" ht="18" x14ac:dyDescent="0.35">
      <c r="C50" s="118" t="s">
        <v>83</v>
      </c>
      <c r="D50" s="165">
        <f>AVERAGE(E38:E41,G38:G41)</f>
        <v>190202282.6268948</v>
      </c>
      <c r="F50" s="166"/>
      <c r="H50" s="146"/>
    </row>
    <row r="51" spans="1:12" ht="18" x14ac:dyDescent="0.35">
      <c r="C51" s="120" t="s">
        <v>84</v>
      </c>
      <c r="D51" s="167">
        <f>STDEV(E38:E41,G38:G41)/D50</f>
        <v>1.7768593580185236E-2</v>
      </c>
      <c r="F51" s="166"/>
      <c r="H51" s="146"/>
    </row>
    <row r="52" spans="1:12" ht="19.5" customHeight="1" x14ac:dyDescent="0.35">
      <c r="C52" s="168" t="s">
        <v>20</v>
      </c>
      <c r="D52" s="169">
        <f>COUNT(E38:E41,G38:G41)</f>
        <v>6</v>
      </c>
      <c r="F52" s="166"/>
    </row>
    <row r="54" spans="1:12" ht="18" x14ac:dyDescent="0.35">
      <c r="A54" s="170" t="s">
        <v>1</v>
      </c>
      <c r="B54" s="171" t="s">
        <v>85</v>
      </c>
    </row>
    <row r="55" spans="1:12" ht="18" x14ac:dyDescent="0.35">
      <c r="A55" s="95" t="s">
        <v>86</v>
      </c>
      <c r="B55" s="172" t="str">
        <f>B21</f>
        <v>Each tablet contains: 200 mg of Nevirapine USP.</v>
      </c>
    </row>
    <row r="56" spans="1:12" ht="26.25" customHeight="1" x14ac:dyDescent="0.45">
      <c r="A56" s="173" t="s">
        <v>87</v>
      </c>
      <c r="B56" s="174">
        <v>200</v>
      </c>
      <c r="C56" s="95" t="str">
        <f>B20</f>
        <v>Nevirapine</v>
      </c>
      <c r="H56" s="175"/>
    </row>
    <row r="57" spans="1:12" ht="18" x14ac:dyDescent="0.35">
      <c r="A57" s="172" t="s">
        <v>130</v>
      </c>
      <c r="B57" s="243">
        <f>Uniformity!C46</f>
        <v>800.61800000000017</v>
      </c>
      <c r="H57" s="175"/>
    </row>
    <row r="58" spans="1:12" ht="19.5" customHeight="1" x14ac:dyDescent="0.35">
      <c r="H58" s="175"/>
    </row>
    <row r="59" spans="1:12" s="14" customFormat="1" ht="27" customHeight="1" x14ac:dyDescent="0.45">
      <c r="A59" s="118" t="s">
        <v>88</v>
      </c>
      <c r="B59" s="119">
        <v>250</v>
      </c>
      <c r="C59" s="95"/>
      <c r="D59" s="176" t="s">
        <v>89</v>
      </c>
      <c r="E59" s="177" t="s">
        <v>62</v>
      </c>
      <c r="F59" s="177" t="s">
        <v>63</v>
      </c>
      <c r="G59" s="177" t="s">
        <v>90</v>
      </c>
      <c r="H59" s="122" t="s">
        <v>91</v>
      </c>
      <c r="L59" s="108"/>
    </row>
    <row r="60" spans="1:12" s="14" customFormat="1" ht="26.25" customHeight="1" x14ac:dyDescent="0.45">
      <c r="A60" s="120" t="s">
        <v>92</v>
      </c>
      <c r="B60" s="121">
        <v>2</v>
      </c>
      <c r="C60" s="305" t="s">
        <v>93</v>
      </c>
      <c r="D60" s="308">
        <v>802.91</v>
      </c>
      <c r="E60" s="178">
        <v>1</v>
      </c>
      <c r="F60" s="179">
        <v>149199851</v>
      </c>
      <c r="G60" s="331">
        <f>IF(ISBLANK(F60),"-",(F60/$D$50*$D$47*$B$68)*($B$57/$D$60))</f>
        <v>195.54699950720294</v>
      </c>
      <c r="H60" s="256">
        <f t="shared" ref="H60:H71" si="0">IF(ISBLANK(F60),"-",(G60/$B$56)*100)</f>
        <v>97.77349975360147</v>
      </c>
      <c r="L60" s="108"/>
    </row>
    <row r="61" spans="1:12" s="14" customFormat="1" ht="26.25" customHeight="1" x14ac:dyDescent="0.45">
      <c r="A61" s="120" t="s">
        <v>94</v>
      </c>
      <c r="B61" s="121">
        <v>100</v>
      </c>
      <c r="C61" s="306"/>
      <c r="D61" s="309"/>
      <c r="E61" s="180">
        <v>2</v>
      </c>
      <c r="F61" s="133">
        <v>148561417</v>
      </c>
      <c r="G61" s="332">
        <f>IF(ISBLANK(F61),"-",(F61/$D$50*$D$47*$B$68)*($B$57/$D$60))</f>
        <v>194.71024362409298</v>
      </c>
      <c r="H61" s="257">
        <f t="shared" si="0"/>
        <v>97.355121812046491</v>
      </c>
      <c r="L61" s="108"/>
    </row>
    <row r="62" spans="1:12" s="14" customFormat="1" ht="26.25" customHeight="1" x14ac:dyDescent="0.45">
      <c r="A62" s="120" t="s">
        <v>95</v>
      </c>
      <c r="B62" s="121">
        <v>1</v>
      </c>
      <c r="C62" s="306"/>
      <c r="D62" s="309"/>
      <c r="E62" s="180">
        <v>3</v>
      </c>
      <c r="F62" s="181">
        <v>149001806</v>
      </c>
      <c r="G62" s="332">
        <f>IF(ISBLANK(F62),"-",(F62/$D$50*$D$47*$B$68)*($B$57/$D$60))</f>
        <v>195.28743419760082</v>
      </c>
      <c r="H62" s="257">
        <f t="shared" si="0"/>
        <v>97.643717098800408</v>
      </c>
      <c r="L62" s="108"/>
    </row>
    <row r="63" spans="1:12" ht="27" customHeight="1" x14ac:dyDescent="0.45">
      <c r="A63" s="120" t="s">
        <v>96</v>
      </c>
      <c r="B63" s="121">
        <v>1</v>
      </c>
      <c r="C63" s="315"/>
      <c r="D63" s="310"/>
      <c r="E63" s="182">
        <v>4</v>
      </c>
      <c r="F63" s="183"/>
      <c r="G63" s="332" t="str">
        <f>IF(ISBLANK(F63),"-",(F63/$D$50*$D$47*$B$68)*($B$57/$D$60))</f>
        <v>-</v>
      </c>
      <c r="H63" s="257" t="str">
        <f t="shared" si="0"/>
        <v>-</v>
      </c>
    </row>
    <row r="64" spans="1:12" ht="26.25" customHeight="1" x14ac:dyDescent="0.45">
      <c r="A64" s="120" t="s">
        <v>97</v>
      </c>
      <c r="B64" s="121">
        <v>1</v>
      </c>
      <c r="C64" s="305" t="s">
        <v>98</v>
      </c>
      <c r="D64" s="308">
        <v>803.69</v>
      </c>
      <c r="E64" s="178">
        <v>1</v>
      </c>
      <c r="F64" s="179">
        <v>150189831</v>
      </c>
      <c r="G64" s="331">
        <f>IF(ISBLANK(F64),"-",(F64/$D$50*$D$47*$B$68)*($B$57/$D$64))</f>
        <v>196.65346273876403</v>
      </c>
      <c r="H64" s="256">
        <f t="shared" si="0"/>
        <v>98.326731369382017</v>
      </c>
    </row>
    <row r="65" spans="1:8" ht="26.25" customHeight="1" x14ac:dyDescent="0.45">
      <c r="A65" s="120" t="s">
        <v>99</v>
      </c>
      <c r="B65" s="121">
        <v>1</v>
      </c>
      <c r="C65" s="306"/>
      <c r="D65" s="309"/>
      <c r="E65" s="180">
        <v>2</v>
      </c>
      <c r="F65" s="133">
        <v>149152609</v>
      </c>
      <c r="G65" s="332">
        <f>IF(ISBLANK(F65),"-",(F65/$D$50*$D$47*$B$68)*($B$57/$D$64))</f>
        <v>195.29535948656161</v>
      </c>
      <c r="H65" s="257">
        <f t="shared" si="0"/>
        <v>97.647679743280804</v>
      </c>
    </row>
    <row r="66" spans="1:8" ht="26.25" customHeight="1" x14ac:dyDescent="0.45">
      <c r="A66" s="120" t="s">
        <v>100</v>
      </c>
      <c r="B66" s="121">
        <v>1</v>
      </c>
      <c r="C66" s="306"/>
      <c r="D66" s="309"/>
      <c r="E66" s="180">
        <v>3</v>
      </c>
      <c r="F66" s="133">
        <v>149776211</v>
      </c>
      <c r="G66" s="332">
        <f>IF(ISBLANK(F66),"-",(F66/$D$50*$D$47*$B$68)*($B$57/$D$64))</f>
        <v>196.11188276150173</v>
      </c>
      <c r="H66" s="257">
        <f t="shared" si="0"/>
        <v>98.055941380750866</v>
      </c>
    </row>
    <row r="67" spans="1:8" ht="27" customHeight="1" x14ac:dyDescent="0.45">
      <c r="A67" s="120" t="s">
        <v>101</v>
      </c>
      <c r="B67" s="121">
        <v>1</v>
      </c>
      <c r="C67" s="315"/>
      <c r="D67" s="310"/>
      <c r="E67" s="182">
        <v>4</v>
      </c>
      <c r="F67" s="183"/>
      <c r="G67" s="333" t="str">
        <f>IF(ISBLANK(F67),"-",(F67/$D$50*$D$47*$B$68)*($B$57/$D$64))</f>
        <v>-</v>
      </c>
      <c r="H67" s="258" t="str">
        <f t="shared" si="0"/>
        <v>-</v>
      </c>
    </row>
    <row r="68" spans="1:8" ht="26.25" customHeight="1" x14ac:dyDescent="0.5">
      <c r="A68" s="120" t="s">
        <v>102</v>
      </c>
      <c r="B68" s="184">
        <f>(B67/B66)*(B65/B64)*(B63/B62)*(B61/B60)*B59</f>
        <v>12500</v>
      </c>
      <c r="C68" s="305" t="s">
        <v>103</v>
      </c>
      <c r="D68" s="308">
        <v>789.46</v>
      </c>
      <c r="E68" s="178">
        <v>1</v>
      </c>
      <c r="F68" s="179">
        <v>144641107</v>
      </c>
      <c r="G68" s="331">
        <f>IF(ISBLANK(F68),"-",(F68/$D$50*$D$47*$B$68)*($B$57/$D$68))</f>
        <v>192.80186950616317</v>
      </c>
      <c r="H68" s="257">
        <f t="shared" si="0"/>
        <v>96.400934753081586</v>
      </c>
    </row>
    <row r="69" spans="1:8" ht="27" customHeight="1" x14ac:dyDescent="0.5">
      <c r="A69" s="168" t="s">
        <v>104</v>
      </c>
      <c r="B69" s="185">
        <f>(D47*B68)/B56*B57</f>
        <v>1000.7725000000003</v>
      </c>
      <c r="C69" s="306"/>
      <c r="D69" s="309"/>
      <c r="E69" s="180">
        <v>2</v>
      </c>
      <c r="F69" s="133">
        <v>145082239</v>
      </c>
      <c r="G69" s="332">
        <f>IF(ISBLANK(F69),"-",(F69/$D$50*$D$47*$B$68)*($B$57/$D$68))</f>
        <v>193.38988404824624</v>
      </c>
      <c r="H69" s="257">
        <f t="shared" si="0"/>
        <v>96.694942024123122</v>
      </c>
    </row>
    <row r="70" spans="1:8" ht="26.25" customHeight="1" x14ac:dyDescent="0.45">
      <c r="A70" s="311" t="s">
        <v>78</v>
      </c>
      <c r="B70" s="312"/>
      <c r="C70" s="306"/>
      <c r="D70" s="309"/>
      <c r="E70" s="180">
        <v>3</v>
      </c>
      <c r="F70" s="133">
        <v>144637316</v>
      </c>
      <c r="G70" s="332">
        <f>IF(ISBLANK(F70),"-",(F70/$D$50*$D$47*$B$68)*($B$57/$D$68))</f>
        <v>192.79681622703347</v>
      </c>
      <c r="H70" s="257">
        <f t="shared" si="0"/>
        <v>96.398408113516737</v>
      </c>
    </row>
    <row r="71" spans="1:8" ht="27" customHeight="1" x14ac:dyDescent="0.45">
      <c r="A71" s="313"/>
      <c r="B71" s="314"/>
      <c r="C71" s="307"/>
      <c r="D71" s="310"/>
      <c r="E71" s="182">
        <v>4</v>
      </c>
      <c r="F71" s="183"/>
      <c r="G71" s="333" t="str">
        <f>IF(ISBLANK(F71),"-",(F71/$D$50*$D$47*$B$68)*($B$57/$D$68))</f>
        <v>-</v>
      </c>
      <c r="H71" s="258" t="str">
        <f t="shared" si="0"/>
        <v>-</v>
      </c>
    </row>
    <row r="72" spans="1:8" ht="26.25" customHeight="1" x14ac:dyDescent="0.45">
      <c r="A72" s="186"/>
      <c r="B72" s="186"/>
      <c r="C72" s="186"/>
      <c r="D72" s="186"/>
      <c r="E72" s="186"/>
      <c r="F72" s="188" t="s">
        <v>71</v>
      </c>
      <c r="G72" s="245">
        <f>AVERAGE(G60:G71)</f>
        <v>194.73266134412967</v>
      </c>
      <c r="H72" s="259">
        <f>AVERAGE(H60:H71)</f>
        <v>97.366330672064834</v>
      </c>
    </row>
    <row r="73" spans="1:8" ht="26.25" customHeight="1" x14ac:dyDescent="0.45">
      <c r="C73" s="186"/>
      <c r="D73" s="186"/>
      <c r="E73" s="186"/>
      <c r="F73" s="189" t="s">
        <v>84</v>
      </c>
      <c r="G73" s="244">
        <f>STDEV(G60:G71)/G72</f>
        <v>7.2981677882135399E-3</v>
      </c>
      <c r="H73" s="244">
        <f>STDEV(H60:H71)/H72</f>
        <v>7.2981677882135399E-3</v>
      </c>
    </row>
    <row r="74" spans="1:8" ht="27" customHeight="1" x14ac:dyDescent="0.45">
      <c r="A74" s="186"/>
      <c r="B74" s="186"/>
      <c r="C74" s="187"/>
      <c r="D74" s="187"/>
      <c r="E74" s="190"/>
      <c r="F74" s="191" t="s">
        <v>20</v>
      </c>
      <c r="G74" s="192">
        <f>COUNT(G60:G71)</f>
        <v>9</v>
      </c>
      <c r="H74" s="192">
        <f>COUNT(H60:H71)</f>
        <v>9</v>
      </c>
    </row>
    <row r="76" spans="1:8" ht="26.25" customHeight="1" x14ac:dyDescent="0.45">
      <c r="A76" s="104" t="s">
        <v>105</v>
      </c>
      <c r="B76" s="193" t="s">
        <v>106</v>
      </c>
      <c r="C76" s="292" t="str">
        <f>B26</f>
        <v>Nevirapine</v>
      </c>
      <c r="D76" s="292"/>
      <c r="E76" s="194" t="s">
        <v>107</v>
      </c>
      <c r="F76" s="194"/>
      <c r="G76" s="259">
        <f>H72</f>
        <v>97.366330672064834</v>
      </c>
      <c r="H76" s="196"/>
    </row>
    <row r="77" spans="1:8" ht="18" x14ac:dyDescent="0.35">
      <c r="A77" s="103" t="s">
        <v>108</v>
      </c>
      <c r="B77" s="103" t="s">
        <v>109</v>
      </c>
    </row>
    <row r="78" spans="1:8" ht="18" x14ac:dyDescent="0.35">
      <c r="A78" s="103"/>
      <c r="B78" s="103"/>
    </row>
    <row r="79" spans="1:8" ht="26.25" customHeight="1" x14ac:dyDescent="0.45">
      <c r="A79" s="104" t="s">
        <v>4</v>
      </c>
      <c r="B79" s="326" t="str">
        <f>B26</f>
        <v>Nevirapine</v>
      </c>
      <c r="C79" s="326"/>
    </row>
    <row r="80" spans="1:8" ht="26.25" customHeight="1" x14ac:dyDescent="0.45">
      <c r="A80" s="105" t="s">
        <v>48</v>
      </c>
      <c r="B80" s="326">
        <f>B27</f>
        <v>0</v>
      </c>
      <c r="C80" s="326"/>
    </row>
    <row r="81" spans="1:12" ht="27" customHeight="1" x14ac:dyDescent="0.45">
      <c r="A81" s="105" t="s">
        <v>6</v>
      </c>
      <c r="B81" s="197">
        <f>B28</f>
        <v>96.32</v>
      </c>
    </row>
    <row r="82" spans="1:12" s="14" customFormat="1" ht="27" customHeight="1" x14ac:dyDescent="0.5">
      <c r="A82" s="105" t="s">
        <v>49</v>
      </c>
      <c r="B82" s="107">
        <v>0</v>
      </c>
      <c r="C82" s="294" t="s">
        <v>50</v>
      </c>
      <c r="D82" s="295"/>
      <c r="E82" s="295"/>
      <c r="F82" s="295"/>
      <c r="G82" s="296"/>
      <c r="I82" s="108"/>
      <c r="J82" s="108"/>
      <c r="K82" s="108"/>
      <c r="L82" s="108"/>
    </row>
    <row r="83" spans="1:12" s="14" customFormat="1" ht="19.5" customHeight="1" x14ac:dyDescent="0.35">
      <c r="A83" s="105" t="s">
        <v>51</v>
      </c>
      <c r="B83" s="109">
        <f>B81-B82</f>
        <v>96.32</v>
      </c>
      <c r="C83" s="110"/>
      <c r="D83" s="110"/>
      <c r="E83" s="110"/>
      <c r="F83" s="110"/>
      <c r="G83" s="111"/>
      <c r="I83" s="108"/>
      <c r="J83" s="108"/>
      <c r="K83" s="108"/>
      <c r="L83" s="108"/>
    </row>
    <row r="84" spans="1:12" s="14" customFormat="1" ht="27" customHeight="1" x14ac:dyDescent="0.45">
      <c r="A84" s="105" t="s">
        <v>52</v>
      </c>
      <c r="B84" s="112">
        <v>1</v>
      </c>
      <c r="C84" s="297" t="s">
        <v>110</v>
      </c>
      <c r="D84" s="298"/>
      <c r="E84" s="298"/>
      <c r="F84" s="298"/>
      <c r="G84" s="298"/>
      <c r="H84" s="299"/>
      <c r="I84" s="108"/>
      <c r="J84" s="108"/>
      <c r="K84" s="108"/>
      <c r="L84" s="108"/>
    </row>
    <row r="85" spans="1:12" s="14" customFormat="1" ht="27" customHeight="1" x14ac:dyDescent="0.45">
      <c r="A85" s="105" t="s">
        <v>54</v>
      </c>
      <c r="B85" s="112">
        <v>1</v>
      </c>
      <c r="C85" s="297" t="s">
        <v>111</v>
      </c>
      <c r="D85" s="298"/>
      <c r="E85" s="298"/>
      <c r="F85" s="298"/>
      <c r="G85" s="298"/>
      <c r="H85" s="299"/>
      <c r="I85" s="108"/>
      <c r="J85" s="108"/>
      <c r="K85" s="108"/>
      <c r="L85" s="108"/>
    </row>
    <row r="86" spans="1:12" s="14" customFormat="1" ht="18" x14ac:dyDescent="0.35">
      <c r="A86" s="105"/>
      <c r="B86" s="115"/>
      <c r="C86" s="116"/>
      <c r="D86" s="116"/>
      <c r="E86" s="116"/>
      <c r="F86" s="116"/>
      <c r="G86" s="116"/>
      <c r="H86" s="116"/>
      <c r="I86" s="108"/>
      <c r="J86" s="108"/>
      <c r="K86" s="108"/>
      <c r="L86" s="108"/>
    </row>
    <row r="87" spans="1:12" s="14" customFormat="1" ht="18" x14ac:dyDescent="0.35">
      <c r="A87" s="105" t="s">
        <v>56</v>
      </c>
      <c r="B87" s="117">
        <f>B84/B85</f>
        <v>1</v>
      </c>
      <c r="C87" s="95" t="s">
        <v>57</v>
      </c>
      <c r="D87" s="95"/>
      <c r="E87" s="95"/>
      <c r="F87" s="95"/>
      <c r="G87" s="95"/>
      <c r="I87" s="108"/>
      <c r="J87" s="108"/>
      <c r="K87" s="108"/>
      <c r="L87" s="108"/>
    </row>
    <row r="88" spans="1:12" ht="19.5" customHeight="1" x14ac:dyDescent="0.35">
      <c r="A88" s="103"/>
      <c r="B88" s="103"/>
    </row>
    <row r="89" spans="1:12" ht="27" customHeight="1" x14ac:dyDescent="0.45">
      <c r="A89" s="118" t="s">
        <v>58</v>
      </c>
      <c r="B89" s="119">
        <v>20</v>
      </c>
      <c r="D89" s="198" t="s">
        <v>59</v>
      </c>
      <c r="E89" s="199"/>
      <c r="F89" s="300" t="s">
        <v>60</v>
      </c>
      <c r="G89" s="301"/>
    </row>
    <row r="90" spans="1:12" ht="27" customHeight="1" x14ac:dyDescent="0.45">
      <c r="A90" s="120" t="s">
        <v>61</v>
      </c>
      <c r="B90" s="121">
        <v>3</v>
      </c>
      <c r="C90" s="200" t="s">
        <v>62</v>
      </c>
      <c r="D90" s="123" t="s">
        <v>63</v>
      </c>
      <c r="E90" s="124" t="s">
        <v>64</v>
      </c>
      <c r="F90" s="123" t="s">
        <v>63</v>
      </c>
      <c r="G90" s="201" t="s">
        <v>64</v>
      </c>
      <c r="I90" s="126" t="s">
        <v>65</v>
      </c>
    </row>
    <row r="91" spans="1:12" ht="26.25" customHeight="1" x14ac:dyDescent="0.45">
      <c r="A91" s="120" t="s">
        <v>66</v>
      </c>
      <c r="B91" s="121">
        <v>20</v>
      </c>
      <c r="C91" s="202">
        <v>1</v>
      </c>
      <c r="D91" s="128">
        <v>89572262</v>
      </c>
      <c r="E91" s="129">
        <f>IF(ISBLANK(D91),"-",$D$101/$D$98*D91)</f>
        <v>84564440.403731421</v>
      </c>
      <c r="F91" s="128">
        <v>82517284</v>
      </c>
      <c r="G91" s="130">
        <f>IF(ISBLANK(F91),"-",$D$101/$F$98*F91)</f>
        <v>83590621.010017022</v>
      </c>
      <c r="I91" s="131"/>
    </row>
    <row r="92" spans="1:12" ht="26.25" customHeight="1" x14ac:dyDescent="0.45">
      <c r="A92" s="120" t="s">
        <v>67</v>
      </c>
      <c r="B92" s="121">
        <v>10</v>
      </c>
      <c r="C92" s="187">
        <v>2</v>
      </c>
      <c r="D92" s="133">
        <v>85261271</v>
      </c>
      <c r="E92" s="134">
        <f>IF(ISBLANK(D92),"-",$D$101/$D$98*D92)</f>
        <v>80494469.03803651</v>
      </c>
      <c r="F92" s="133">
        <v>80771619</v>
      </c>
      <c r="G92" s="135">
        <f>IF(ISBLANK(F92),"-",$D$101/$F$98*F92)</f>
        <v>81822249.411341399</v>
      </c>
      <c r="I92" s="302">
        <f>ABS((F96/D96*D95)-F95)/D95</f>
        <v>9.2229563823340889E-3</v>
      </c>
    </row>
    <row r="93" spans="1:12" ht="26.25" customHeight="1" x14ac:dyDescent="0.45">
      <c r="A93" s="120" t="s">
        <v>68</v>
      </c>
      <c r="B93" s="121">
        <v>100</v>
      </c>
      <c r="C93" s="187">
        <v>3</v>
      </c>
      <c r="D93" s="133">
        <v>86674604</v>
      </c>
      <c r="E93" s="134">
        <f>IF(ISBLANK(D93),"-",$D$101/$D$98*D93)</f>
        <v>81828785.170960858</v>
      </c>
      <c r="F93" s="133">
        <v>82840533</v>
      </c>
      <c r="G93" s="135">
        <f>IF(ISBLANK(F93),"-",$D$101/$F$98*F93)</f>
        <v>83918074.645680398</v>
      </c>
      <c r="I93" s="302"/>
    </row>
    <row r="94" spans="1:12" ht="27" customHeight="1" x14ac:dyDescent="0.45">
      <c r="A94" s="120" t="s">
        <v>69</v>
      </c>
      <c r="B94" s="121">
        <v>1</v>
      </c>
      <c r="C94" s="203">
        <v>4</v>
      </c>
      <c r="D94" s="138"/>
      <c r="E94" s="139" t="str">
        <f>IF(ISBLANK(D94),"-",$D$101/$D$98*D94)</f>
        <v>-</v>
      </c>
      <c r="F94" s="204"/>
      <c r="G94" s="140" t="str">
        <f>IF(ISBLANK(F94),"-",$D$101/$F$98*F94)</f>
        <v>-</v>
      </c>
      <c r="I94" s="141"/>
    </row>
    <row r="95" spans="1:12" ht="27" customHeight="1" x14ac:dyDescent="0.45">
      <c r="A95" s="120" t="s">
        <v>70</v>
      </c>
      <c r="B95" s="121">
        <v>1</v>
      </c>
      <c r="C95" s="205" t="s">
        <v>71</v>
      </c>
      <c r="D95" s="206">
        <f>AVERAGE(D91:D94)</f>
        <v>87169379</v>
      </c>
      <c r="E95" s="144">
        <f>AVERAGE(E91:E94)</f>
        <v>82295898.20424293</v>
      </c>
      <c r="F95" s="207">
        <f>AVERAGE(F91:F94)</f>
        <v>82043145.333333328</v>
      </c>
      <c r="G95" s="208">
        <f>AVERAGE(G91:G94)</f>
        <v>83110315.022346273</v>
      </c>
    </row>
    <row r="96" spans="1:12" ht="26.25" customHeight="1" x14ac:dyDescent="0.45">
      <c r="A96" s="120" t="s">
        <v>72</v>
      </c>
      <c r="B96" s="106">
        <v>1</v>
      </c>
      <c r="C96" s="209" t="s">
        <v>112</v>
      </c>
      <c r="D96" s="210">
        <v>19.55</v>
      </c>
      <c r="E96" s="136"/>
      <c r="F96" s="148">
        <v>18.22</v>
      </c>
    </row>
    <row r="97" spans="1:10" ht="26.25" customHeight="1" x14ac:dyDescent="0.45">
      <c r="A97" s="120" t="s">
        <v>74</v>
      </c>
      <c r="B97" s="106">
        <v>1</v>
      </c>
      <c r="C97" s="211" t="s">
        <v>113</v>
      </c>
      <c r="D97" s="212">
        <f>D96*$B$87</f>
        <v>19.55</v>
      </c>
      <c r="E97" s="151"/>
      <c r="F97" s="150">
        <f>F96*$B$87</f>
        <v>18.22</v>
      </c>
    </row>
    <row r="98" spans="1:10" ht="19.5" customHeight="1" x14ac:dyDescent="0.35">
      <c r="A98" s="120" t="s">
        <v>76</v>
      </c>
      <c r="B98" s="213">
        <f>(B97/B96)*(B95/B94)*(B93/B92)*(B91/B90)*B89</f>
        <v>1333.3333333333335</v>
      </c>
      <c r="C98" s="211" t="s">
        <v>114</v>
      </c>
      <c r="D98" s="214">
        <f>D97*$B$83/100</f>
        <v>18.830560000000002</v>
      </c>
      <c r="E98" s="154"/>
      <c r="F98" s="153">
        <f>F97*$B$83/100</f>
        <v>17.549503999999999</v>
      </c>
    </row>
    <row r="99" spans="1:10" ht="19.5" customHeight="1" x14ac:dyDescent="0.35">
      <c r="A99" s="288" t="s">
        <v>78</v>
      </c>
      <c r="B99" s="303"/>
      <c r="C99" s="211" t="s">
        <v>79</v>
      </c>
      <c r="D99" s="215">
        <f>D98/$B$98</f>
        <v>1.4122920000000001E-2</v>
      </c>
      <c r="E99" s="154"/>
      <c r="F99" s="157">
        <f>F98/$B$98</f>
        <v>1.3162127999999997E-2</v>
      </c>
      <c r="G99" s="216"/>
      <c r="H99" s="146"/>
    </row>
    <row r="100" spans="1:10" ht="19.5" customHeight="1" x14ac:dyDescent="0.35">
      <c r="A100" s="290"/>
      <c r="B100" s="304"/>
      <c r="C100" s="211" t="s">
        <v>80</v>
      </c>
      <c r="D100" s="217">
        <f>$B$56/$B$116</f>
        <v>1.3333333333333332E-2</v>
      </c>
      <c r="F100" s="162"/>
      <c r="G100" s="218"/>
      <c r="H100" s="146"/>
    </row>
    <row r="101" spans="1:10" ht="18" x14ac:dyDescent="0.35">
      <c r="C101" s="211" t="s">
        <v>81</v>
      </c>
      <c r="D101" s="212">
        <f>D100*$B$98</f>
        <v>17.777777777777779</v>
      </c>
      <c r="F101" s="162"/>
      <c r="G101" s="216"/>
      <c r="H101" s="146"/>
    </row>
    <row r="102" spans="1:10" ht="19.5" customHeight="1" x14ac:dyDescent="0.35">
      <c r="C102" s="219" t="s">
        <v>82</v>
      </c>
      <c r="D102" s="220">
        <f>D101/B34</f>
        <v>17.777777777777779</v>
      </c>
      <c r="F102" s="166"/>
      <c r="G102" s="216"/>
      <c r="H102" s="146"/>
      <c r="J102" s="221"/>
    </row>
    <row r="103" spans="1:10" ht="18" x14ac:dyDescent="0.35">
      <c r="C103" s="222" t="s">
        <v>115</v>
      </c>
      <c r="D103" s="223">
        <f>AVERAGE(E91:E94,G91:G94)</f>
        <v>82703106.613294601</v>
      </c>
      <c r="F103" s="166"/>
      <c r="G103" s="224"/>
      <c r="H103" s="146"/>
      <c r="J103" s="225"/>
    </row>
    <row r="104" spans="1:10" ht="18" x14ac:dyDescent="0.35">
      <c r="C104" s="189" t="s">
        <v>84</v>
      </c>
      <c r="D104" s="226">
        <f>STDEV(E91:E94,G91:G94)/D103</f>
        <v>1.8846229315441335E-2</v>
      </c>
      <c r="F104" s="166"/>
      <c r="G104" s="216"/>
      <c r="H104" s="146"/>
      <c r="J104" s="225"/>
    </row>
    <row r="105" spans="1:10" ht="19.5" customHeight="1" x14ac:dyDescent="0.35">
      <c r="C105" s="191" t="s">
        <v>20</v>
      </c>
      <c r="D105" s="227">
        <f>COUNT(E91:E94,G91:G94)</f>
        <v>6</v>
      </c>
      <c r="F105" s="166"/>
      <c r="G105" s="216"/>
      <c r="H105" s="146"/>
      <c r="J105" s="225"/>
    </row>
    <row r="106" spans="1:10" ht="19.5" customHeight="1" x14ac:dyDescent="0.35">
      <c r="A106" s="170"/>
      <c r="B106" s="170"/>
      <c r="C106" s="170"/>
      <c r="D106" s="170"/>
      <c r="E106" s="170"/>
    </row>
    <row r="107" spans="1:10" ht="27" customHeight="1" x14ac:dyDescent="0.45">
      <c r="A107" s="118" t="s">
        <v>116</v>
      </c>
      <c r="B107" s="119">
        <v>900</v>
      </c>
      <c r="C107" s="260" t="s">
        <v>117</v>
      </c>
      <c r="D107" s="260" t="s">
        <v>63</v>
      </c>
      <c r="E107" s="260" t="s">
        <v>118</v>
      </c>
      <c r="F107" s="228" t="s">
        <v>119</v>
      </c>
    </row>
    <row r="108" spans="1:10" ht="26.25" customHeight="1" x14ac:dyDescent="0.45">
      <c r="A108" s="120" t="s">
        <v>120</v>
      </c>
      <c r="B108" s="121">
        <v>3</v>
      </c>
      <c r="C108" s="265">
        <v>1</v>
      </c>
      <c r="D108" s="266">
        <v>72416021</v>
      </c>
      <c r="E108" s="334">
        <f t="shared" ref="E108:E113" si="1">IF(ISBLANK(D108),"-",D108/$D$103*$D$100*$B$116)</f>
        <v>175.12285563492739</v>
      </c>
      <c r="F108" s="267">
        <f t="shared" ref="F108:F113" si="2">IF(ISBLANK(D108), "-", (E108/$B$56)*100)</f>
        <v>87.561427817463695</v>
      </c>
    </row>
    <row r="109" spans="1:10" ht="26.25" customHeight="1" x14ac:dyDescent="0.45">
      <c r="A109" s="120" t="s">
        <v>94</v>
      </c>
      <c r="B109" s="121">
        <v>50</v>
      </c>
      <c r="C109" s="261">
        <v>2</v>
      </c>
      <c r="D109" s="263">
        <v>73303940</v>
      </c>
      <c r="E109" s="335">
        <f t="shared" si="1"/>
        <v>177.27010024606821</v>
      </c>
      <c r="F109" s="268">
        <f t="shared" si="2"/>
        <v>88.635050123034105</v>
      </c>
    </row>
    <row r="110" spans="1:10" ht="26.25" customHeight="1" x14ac:dyDescent="0.45">
      <c r="A110" s="120" t="s">
        <v>95</v>
      </c>
      <c r="B110" s="121">
        <v>1</v>
      </c>
      <c r="C110" s="261">
        <v>3</v>
      </c>
      <c r="D110" s="263">
        <v>74107559</v>
      </c>
      <c r="E110" s="335">
        <f t="shared" si="1"/>
        <v>179.21348310774857</v>
      </c>
      <c r="F110" s="268">
        <f t="shared" si="2"/>
        <v>89.606741553874286</v>
      </c>
    </row>
    <row r="111" spans="1:10" ht="26.25" customHeight="1" x14ac:dyDescent="0.45">
      <c r="A111" s="120" t="s">
        <v>96</v>
      </c>
      <c r="B111" s="121">
        <v>1</v>
      </c>
      <c r="C111" s="261">
        <v>4</v>
      </c>
      <c r="D111" s="263">
        <v>74491061</v>
      </c>
      <c r="E111" s="335">
        <f t="shared" si="1"/>
        <v>180.1409017155965</v>
      </c>
      <c r="F111" s="268">
        <f t="shared" si="2"/>
        <v>90.070450857798249</v>
      </c>
    </row>
    <row r="112" spans="1:10" ht="26.25" customHeight="1" x14ac:dyDescent="0.45">
      <c r="A112" s="120" t="s">
        <v>97</v>
      </c>
      <c r="B112" s="121">
        <v>1</v>
      </c>
      <c r="C112" s="261">
        <v>5</v>
      </c>
      <c r="D112" s="263">
        <v>71483884</v>
      </c>
      <c r="E112" s="335">
        <f t="shared" si="1"/>
        <v>172.86867912772917</v>
      </c>
      <c r="F112" s="268">
        <f t="shared" si="2"/>
        <v>86.434339563864583</v>
      </c>
    </row>
    <row r="113" spans="1:10" ht="27" customHeight="1" x14ac:dyDescent="0.45">
      <c r="A113" s="120" t="s">
        <v>99</v>
      </c>
      <c r="B113" s="121">
        <v>1</v>
      </c>
      <c r="C113" s="262">
        <v>6</v>
      </c>
      <c r="D113" s="264">
        <v>73929322</v>
      </c>
      <c r="E113" s="336">
        <f t="shared" si="1"/>
        <v>178.78245455924821</v>
      </c>
      <c r="F113" s="269">
        <f t="shared" si="2"/>
        <v>89.391227279624104</v>
      </c>
    </row>
    <row r="114" spans="1:10" ht="27" customHeight="1" x14ac:dyDescent="0.45">
      <c r="A114" s="120" t="s">
        <v>100</v>
      </c>
      <c r="B114" s="121">
        <v>1</v>
      </c>
      <c r="C114" s="229"/>
      <c r="D114" s="187"/>
      <c r="E114" s="94"/>
      <c r="F114" s="270"/>
    </row>
    <row r="115" spans="1:10" ht="26.25" customHeight="1" x14ac:dyDescent="0.45">
      <c r="A115" s="120" t="s">
        <v>101</v>
      </c>
      <c r="B115" s="121">
        <v>1</v>
      </c>
      <c r="C115" s="229"/>
      <c r="D115" s="248" t="s">
        <v>71</v>
      </c>
      <c r="E115" s="250">
        <f>AVERAGE(E108:E113)</f>
        <v>177.2330790652197</v>
      </c>
      <c r="F115" s="271">
        <f>AVERAGE(F108:F113)</f>
        <v>88.616539532609849</v>
      </c>
    </row>
    <row r="116" spans="1:10" ht="27" customHeight="1" x14ac:dyDescent="0.45">
      <c r="A116" s="120" t="s">
        <v>102</v>
      </c>
      <c r="B116" s="152">
        <f>(B115/B114)*(B113/B112)*(B111/B110)*(B109/B108)*B107</f>
        <v>15000.000000000002</v>
      </c>
      <c r="C116" s="230"/>
      <c r="D116" s="249" t="s">
        <v>84</v>
      </c>
      <c r="E116" s="247">
        <f>STDEV(E108:E113)/E115</f>
        <v>1.5611996114174546E-2</v>
      </c>
      <c r="F116" s="231">
        <f>STDEV(F108:F113)/F115</f>
        <v>1.5611996114174546E-2</v>
      </c>
      <c r="I116" s="94"/>
    </row>
    <row r="117" spans="1:10" ht="27" customHeight="1" x14ac:dyDescent="0.45">
      <c r="A117" s="288" t="s">
        <v>78</v>
      </c>
      <c r="B117" s="289"/>
      <c r="C117" s="232"/>
      <c r="D117" s="191" t="s">
        <v>20</v>
      </c>
      <c r="E117" s="252">
        <f>COUNT(E108:E113)</f>
        <v>6</v>
      </c>
      <c r="F117" s="253">
        <f>COUNT(F108:F113)</f>
        <v>6</v>
      </c>
      <c r="I117" s="94"/>
      <c r="J117" s="225"/>
    </row>
    <row r="118" spans="1:10" ht="26.25" customHeight="1" x14ac:dyDescent="0.35">
      <c r="A118" s="290"/>
      <c r="B118" s="291"/>
      <c r="C118" s="94"/>
      <c r="D118" s="251"/>
      <c r="E118" s="316" t="s">
        <v>121</v>
      </c>
      <c r="F118" s="317"/>
      <c r="G118" s="94"/>
      <c r="H118" s="94"/>
      <c r="I118" s="94"/>
    </row>
    <row r="119" spans="1:10" ht="25.5" customHeight="1" x14ac:dyDescent="0.45">
      <c r="A119" s="241"/>
      <c r="B119" s="116"/>
      <c r="C119" s="94"/>
      <c r="D119" s="249" t="s">
        <v>122</v>
      </c>
      <c r="E119" s="254">
        <f>MIN(E108:E113)</f>
        <v>172.86867912772917</v>
      </c>
      <c r="F119" s="272">
        <f>MIN(F108:F113)</f>
        <v>86.434339563864583</v>
      </c>
      <c r="G119" s="94"/>
      <c r="H119" s="94"/>
      <c r="I119" s="94"/>
    </row>
    <row r="120" spans="1:10" ht="24" customHeight="1" x14ac:dyDescent="0.45">
      <c r="A120" s="241"/>
      <c r="B120" s="116"/>
      <c r="C120" s="94"/>
      <c r="D120" s="163" t="s">
        <v>123</v>
      </c>
      <c r="E120" s="255">
        <f>MAX(E108:E113)</f>
        <v>180.1409017155965</v>
      </c>
      <c r="F120" s="273">
        <f>MAX(F108:F113)</f>
        <v>90.070450857798249</v>
      </c>
      <c r="G120" s="94"/>
      <c r="H120" s="94"/>
      <c r="I120" s="94"/>
    </row>
    <row r="121" spans="1:10" ht="27" customHeight="1" x14ac:dyDescent="0.35">
      <c r="A121" s="241"/>
      <c r="B121" s="116"/>
      <c r="C121" s="94"/>
      <c r="D121" s="94"/>
      <c r="E121" s="94"/>
      <c r="F121" s="187"/>
      <c r="G121" s="94"/>
      <c r="H121" s="94"/>
      <c r="I121" s="94"/>
    </row>
    <row r="122" spans="1:10" ht="25.5" customHeight="1" x14ac:dyDescent="0.35">
      <c r="A122" s="241"/>
      <c r="B122" s="116"/>
      <c r="C122" s="94"/>
      <c r="D122" s="94"/>
      <c r="E122" s="94"/>
      <c r="F122" s="187"/>
      <c r="G122" s="94"/>
      <c r="H122" s="94"/>
      <c r="I122" s="94"/>
    </row>
    <row r="123" spans="1:10" ht="18" x14ac:dyDescent="0.35">
      <c r="A123" s="241"/>
      <c r="B123" s="116"/>
      <c r="C123" s="94"/>
      <c r="D123" s="94"/>
      <c r="E123" s="94"/>
      <c r="F123" s="187"/>
      <c r="G123" s="94"/>
      <c r="H123" s="94"/>
      <c r="I123" s="94"/>
    </row>
    <row r="124" spans="1:10" ht="45.75" customHeight="1" x14ac:dyDescent="0.85">
      <c r="A124" s="104" t="s">
        <v>105</v>
      </c>
      <c r="B124" s="193" t="s">
        <v>124</v>
      </c>
      <c r="C124" s="292" t="str">
        <f>B26</f>
        <v>Nevirapine</v>
      </c>
      <c r="D124" s="292"/>
      <c r="E124" s="194" t="s">
        <v>125</v>
      </c>
      <c r="F124" s="194"/>
      <c r="G124" s="274">
        <f>F115</f>
        <v>88.616539532609849</v>
      </c>
      <c r="H124" s="94"/>
      <c r="I124" s="94"/>
    </row>
    <row r="125" spans="1:10" ht="45.75" customHeight="1" x14ac:dyDescent="0.85">
      <c r="A125" s="104"/>
      <c r="B125" s="193" t="s">
        <v>126</v>
      </c>
      <c r="C125" s="105" t="s">
        <v>127</v>
      </c>
      <c r="D125" s="274">
        <f>MIN(F108:F113)</f>
        <v>86.434339563864583</v>
      </c>
      <c r="E125" s="205" t="s">
        <v>128</v>
      </c>
      <c r="F125" s="274">
        <f>MAX(F108:F113)</f>
        <v>90.070450857798249</v>
      </c>
      <c r="G125" s="195"/>
      <c r="H125" s="94"/>
      <c r="I125" s="94"/>
    </row>
    <row r="126" spans="1:10" ht="19.5" customHeight="1" x14ac:dyDescent="0.35">
      <c r="A126" s="233"/>
      <c r="B126" s="233"/>
      <c r="C126" s="234"/>
      <c r="D126" s="234"/>
      <c r="E126" s="234"/>
      <c r="F126" s="234"/>
      <c r="G126" s="234"/>
      <c r="H126" s="234"/>
    </row>
    <row r="127" spans="1:10" ht="18" x14ac:dyDescent="0.35">
      <c r="B127" s="293" t="s">
        <v>26</v>
      </c>
      <c r="C127" s="293"/>
      <c r="E127" s="200" t="s">
        <v>27</v>
      </c>
      <c r="F127" s="235"/>
      <c r="G127" s="293" t="s">
        <v>28</v>
      </c>
      <c r="H127" s="293"/>
    </row>
    <row r="128" spans="1:10" ht="69.900000000000006" customHeight="1" x14ac:dyDescent="0.35">
      <c r="A128" s="236" t="s">
        <v>29</v>
      </c>
      <c r="B128" s="237"/>
      <c r="C128" s="237"/>
      <c r="E128" s="237"/>
      <c r="F128" s="94"/>
      <c r="G128" s="238"/>
      <c r="H128" s="238"/>
    </row>
    <row r="129" spans="1:9" ht="69.900000000000006" customHeight="1" x14ac:dyDescent="0.35">
      <c r="A129" s="236" t="s">
        <v>30</v>
      </c>
      <c r="B129" s="239"/>
      <c r="C129" s="239"/>
      <c r="E129" s="239"/>
      <c r="F129" s="94"/>
      <c r="G129" s="240"/>
      <c r="H129" s="240"/>
    </row>
    <row r="130" spans="1:9" ht="18" x14ac:dyDescent="0.35">
      <c r="A130" s="186"/>
      <c r="B130" s="186"/>
      <c r="C130" s="187"/>
      <c r="D130" s="187"/>
      <c r="E130" s="187"/>
      <c r="F130" s="190"/>
      <c r="G130" s="187"/>
      <c r="H130" s="187"/>
      <c r="I130" s="94"/>
    </row>
    <row r="131" spans="1:9" ht="18" x14ac:dyDescent="0.35">
      <c r="A131" s="186"/>
      <c r="B131" s="186"/>
      <c r="C131" s="187"/>
      <c r="D131" s="187"/>
      <c r="E131" s="187"/>
      <c r="F131" s="190"/>
      <c r="G131" s="187"/>
      <c r="H131" s="187"/>
      <c r="I131" s="94"/>
    </row>
    <row r="132" spans="1:9" ht="18" x14ac:dyDescent="0.35">
      <c r="A132" s="186"/>
      <c r="B132" s="186"/>
      <c r="C132" s="187"/>
      <c r="D132" s="187"/>
      <c r="E132" s="187"/>
      <c r="F132" s="190"/>
      <c r="G132" s="187"/>
      <c r="H132" s="187"/>
      <c r="I132" s="94"/>
    </row>
    <row r="133" spans="1:9" ht="18" x14ac:dyDescent="0.35">
      <c r="A133" s="186"/>
      <c r="B133" s="186"/>
      <c r="C133" s="187"/>
      <c r="D133" s="187"/>
      <c r="E133" s="187"/>
      <c r="F133" s="190"/>
      <c r="G133" s="187"/>
      <c r="H133" s="187"/>
      <c r="I133" s="94"/>
    </row>
    <row r="134" spans="1:9" ht="18" x14ac:dyDescent="0.35">
      <c r="A134" s="186"/>
      <c r="B134" s="186"/>
      <c r="C134" s="187"/>
      <c r="D134" s="187"/>
      <c r="E134" s="187"/>
      <c r="F134" s="190"/>
      <c r="G134" s="187"/>
      <c r="H134" s="187"/>
      <c r="I134" s="94"/>
    </row>
    <row r="135" spans="1:9" ht="18" x14ac:dyDescent="0.35">
      <c r="A135" s="186"/>
      <c r="B135" s="186"/>
      <c r="C135" s="187"/>
      <c r="D135" s="187"/>
      <c r="E135" s="187"/>
      <c r="F135" s="190"/>
      <c r="G135" s="187"/>
      <c r="H135" s="187"/>
      <c r="I135" s="94"/>
    </row>
    <row r="136" spans="1:9" ht="18" x14ac:dyDescent="0.35">
      <c r="A136" s="186"/>
      <c r="B136" s="186"/>
      <c r="C136" s="187"/>
      <c r="D136" s="187"/>
      <c r="E136" s="187"/>
      <c r="F136" s="190"/>
      <c r="G136" s="187"/>
      <c r="H136" s="187"/>
      <c r="I136" s="94"/>
    </row>
    <row r="137" spans="1:9" ht="18" x14ac:dyDescent="0.35">
      <c r="A137" s="186"/>
      <c r="B137" s="186"/>
      <c r="C137" s="187"/>
      <c r="D137" s="187"/>
      <c r="E137" s="187"/>
      <c r="F137" s="190"/>
      <c r="G137" s="187"/>
      <c r="H137" s="187"/>
      <c r="I137" s="94"/>
    </row>
    <row r="138" spans="1:9" ht="18" x14ac:dyDescent="0.35">
      <c r="A138" s="186"/>
      <c r="B138" s="186"/>
      <c r="C138" s="187"/>
      <c r="D138" s="187"/>
      <c r="E138" s="187"/>
      <c r="F138" s="190"/>
      <c r="G138" s="187"/>
      <c r="H138" s="187"/>
      <c r="I138" s="94"/>
    </row>
    <row r="250" spans="1:1" x14ac:dyDescent="0.3">
      <c r="A250" s="2">
        <v>0</v>
      </c>
    </row>
  </sheetData>
  <sheetProtection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Nevirapine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2016-12-16T10:00:14Z</cp:lastPrinted>
  <dcterms:created xsi:type="dcterms:W3CDTF">2005-07-05T10:19:27Z</dcterms:created>
  <dcterms:modified xsi:type="dcterms:W3CDTF">2017-03-25T09:37:05Z</dcterms:modified>
</cp:coreProperties>
</file>