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2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44525"/>
</workbook>
</file>

<file path=xl/calcChain.xml><?xml version="1.0" encoding="utf-8"?>
<calcChain xmlns="http://schemas.openxmlformats.org/spreadsheetml/2006/main">
  <c r="B42" i="11" l="1"/>
  <c r="B21" i="1" l="1"/>
  <c r="B21" i="11"/>
  <c r="B42" i="10"/>
  <c r="B21" i="10"/>
  <c r="B80" i="9" l="1"/>
  <c r="F96" i="9"/>
  <c r="D96" i="9"/>
  <c r="B41" i="11" s="1"/>
  <c r="F96" i="8"/>
  <c r="D96" i="8"/>
  <c r="B41" i="10" s="1"/>
  <c r="F96" i="5"/>
  <c r="D96" i="5"/>
  <c r="B20" i="10"/>
  <c r="B20" i="1"/>
  <c r="B41" i="1"/>
  <c r="D51" i="11"/>
  <c r="B23" i="9"/>
  <c r="B23" i="8"/>
  <c r="B22" i="8"/>
  <c r="B18" i="9"/>
  <c r="B18" i="8"/>
  <c r="B18" i="5"/>
  <c r="B19" i="9"/>
  <c r="B19" i="8"/>
  <c r="E30" i="1"/>
  <c r="B20" i="11" l="1"/>
  <c r="B39" i="1"/>
  <c r="B42" i="1"/>
  <c r="B53" i="11"/>
  <c r="E51" i="11"/>
  <c r="C51" i="11"/>
  <c r="B51" i="11"/>
  <c r="B52" i="11" s="1"/>
  <c r="B40" i="11"/>
  <c r="B39" i="1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7" i="9" l="1"/>
  <c r="B57" i="8"/>
  <c r="D68" i="8"/>
  <c r="D68" i="9" s="1"/>
  <c r="D64" i="8"/>
  <c r="D64" i="9" s="1"/>
  <c r="D60" i="8"/>
  <c r="D60" i="9" s="1"/>
  <c r="C124" i="9"/>
  <c r="B116" i="9"/>
  <c r="D100" i="9" s="1"/>
  <c r="B98" i="9"/>
  <c r="F95" i="9"/>
  <c r="D95" i="9"/>
  <c r="B87" i="9"/>
  <c r="D97" i="9" s="1"/>
  <c r="B81" i="9"/>
  <c r="B83" i="9" s="1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4" i="9"/>
  <c r="D45" i="9" s="1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D97" i="8"/>
  <c r="F95" i="8"/>
  <c r="D95" i="8"/>
  <c r="G94" i="8"/>
  <c r="E94" i="8"/>
  <c r="B87" i="8"/>
  <c r="F97" i="8" s="1"/>
  <c r="F98" i="8" s="1"/>
  <c r="B81" i="8"/>
  <c r="B83" i="8" s="1"/>
  <c r="D98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8" l="1"/>
  <c r="B69" i="5"/>
  <c r="D98" i="9"/>
  <c r="D99" i="9" s="1"/>
  <c r="F45" i="9"/>
  <c r="F46" i="9" s="1"/>
  <c r="I92" i="8"/>
  <c r="F99" i="8"/>
  <c r="D46" i="9"/>
  <c r="E38" i="9"/>
  <c r="I39" i="8"/>
  <c r="D99" i="8"/>
  <c r="D101" i="8"/>
  <c r="D102" i="8" s="1"/>
  <c r="D101" i="9"/>
  <c r="D102" i="9" s="1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D44" i="8"/>
  <c r="D45" i="8" s="1"/>
  <c r="D46" i="8" s="1"/>
  <c r="F44" i="8"/>
  <c r="F45" i="8" s="1"/>
  <c r="F46" i="8" s="1"/>
  <c r="G94" i="9"/>
  <c r="E94" i="9"/>
  <c r="G93" i="9"/>
  <c r="E40" i="9"/>
  <c r="D49" i="9"/>
  <c r="E39" i="9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92" i="8" l="1"/>
  <c r="G92" i="8"/>
  <c r="G91" i="8"/>
  <c r="E93" i="8"/>
  <c r="G93" i="8"/>
  <c r="E91" i="8"/>
  <c r="G38" i="9"/>
  <c r="G40" i="9"/>
  <c r="G39" i="9"/>
  <c r="G91" i="9"/>
  <c r="E93" i="9"/>
  <c r="G92" i="9"/>
  <c r="E92" i="9"/>
  <c r="E91" i="9"/>
  <c r="E39" i="5"/>
  <c r="E38" i="8"/>
  <c r="E40" i="8"/>
  <c r="G93" i="5"/>
  <c r="G91" i="5"/>
  <c r="G94" i="5"/>
  <c r="E93" i="5"/>
  <c r="G92" i="5"/>
  <c r="E91" i="5"/>
  <c r="E92" i="5"/>
  <c r="E94" i="5"/>
  <c r="E38" i="5"/>
  <c r="G68" i="9"/>
  <c r="H68" i="9" s="1"/>
  <c r="G69" i="9"/>
  <c r="H69" i="9" s="1"/>
  <c r="G40" i="8"/>
  <c r="E42" i="9"/>
  <c r="G39" i="8"/>
  <c r="G38" i="8"/>
  <c r="E39" i="8"/>
  <c r="G38" i="5"/>
  <c r="G40" i="5"/>
  <c r="G39" i="5"/>
  <c r="G41" i="5"/>
  <c r="D46" i="5"/>
  <c r="E41" i="5"/>
  <c r="G95" i="9" l="1"/>
  <c r="D103" i="8"/>
  <c r="E112" i="8" s="1"/>
  <c r="F112" i="8" s="1"/>
  <c r="E109" i="8"/>
  <c r="F109" i="8" s="1"/>
  <c r="E108" i="8"/>
  <c r="F108" i="8" s="1"/>
  <c r="E110" i="8"/>
  <c r="F110" i="8" s="1"/>
  <c r="E113" i="8"/>
  <c r="F113" i="8" s="1"/>
  <c r="E95" i="8"/>
  <c r="D105" i="8"/>
  <c r="D104" i="8"/>
  <c r="G95" i="8"/>
  <c r="G42" i="9"/>
  <c r="D52" i="9"/>
  <c r="D50" i="9"/>
  <c r="D51" i="9" s="1"/>
  <c r="D103" i="9"/>
  <c r="E112" i="9" s="1"/>
  <c r="F112" i="9" s="1"/>
  <c r="D105" i="9"/>
  <c r="E95" i="9"/>
  <c r="G42" i="8"/>
  <c r="D52" i="8"/>
  <c r="E42" i="8"/>
  <c r="D105" i="5"/>
  <c r="G95" i="5"/>
  <c r="D103" i="5"/>
  <c r="E108" i="5" s="1"/>
  <c r="E95" i="5"/>
  <c r="G42" i="5"/>
  <c r="E42" i="5"/>
  <c r="D50" i="5"/>
  <c r="D51" i="5" s="1"/>
  <c r="D52" i="5"/>
  <c r="D50" i="8"/>
  <c r="D104" i="9"/>
  <c r="E110" i="9"/>
  <c r="F110" i="9" s="1"/>
  <c r="G67" i="5"/>
  <c r="H67" i="5" s="1"/>
  <c r="G63" i="5"/>
  <c r="H63" i="5" s="1"/>
  <c r="G71" i="5"/>
  <c r="H71" i="5" s="1"/>
  <c r="E111" i="9" l="1"/>
  <c r="F111" i="9" s="1"/>
  <c r="E109" i="9"/>
  <c r="F109" i="9" s="1"/>
  <c r="E108" i="9"/>
  <c r="E113" i="9"/>
  <c r="F113" i="9" s="1"/>
  <c r="E111" i="8"/>
  <c r="F111" i="8" s="1"/>
  <c r="F125" i="8" s="1"/>
  <c r="G61" i="9"/>
  <c r="H61" i="9" s="1"/>
  <c r="G66" i="9"/>
  <c r="H66" i="9" s="1"/>
  <c r="G64" i="9"/>
  <c r="H64" i="9" s="1"/>
  <c r="G70" i="9"/>
  <c r="H70" i="9" s="1"/>
  <c r="G60" i="9"/>
  <c r="H60" i="9" s="1"/>
  <c r="G62" i="9"/>
  <c r="H62" i="9" s="1"/>
  <c r="G65" i="9"/>
  <c r="H65" i="9" s="1"/>
  <c r="G61" i="5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F108" i="5"/>
  <c r="E120" i="9" l="1"/>
  <c r="F108" i="9"/>
  <c r="F125" i="9" s="1"/>
  <c r="F117" i="8"/>
  <c r="F119" i="8"/>
  <c r="F115" i="8"/>
  <c r="G124" i="8" s="1"/>
  <c r="E120" i="8"/>
  <c r="E119" i="8"/>
  <c r="E117" i="8"/>
  <c r="E115" i="8"/>
  <c r="E116" i="8" s="1"/>
  <c r="E117" i="9"/>
  <c r="E119" i="9"/>
  <c r="E115" i="9"/>
  <c r="E116" i="9" s="1"/>
  <c r="D125" i="8"/>
  <c r="F120" i="8"/>
  <c r="G72" i="9"/>
  <c r="G73" i="9" s="1"/>
  <c r="H72" i="9"/>
  <c r="G76" i="9" s="1"/>
  <c r="G74" i="9"/>
  <c r="H74" i="9"/>
  <c r="G72" i="5"/>
  <c r="G73" i="5" s="1"/>
  <c r="G74" i="5"/>
  <c r="E119" i="5"/>
  <c r="E115" i="5"/>
  <c r="E116" i="5" s="1"/>
  <c r="E120" i="5"/>
  <c r="E117" i="5"/>
  <c r="H60" i="8"/>
  <c r="G74" i="8"/>
  <c r="G72" i="8"/>
  <c r="G73" i="8" s="1"/>
  <c r="D125" i="5"/>
  <c r="F115" i="5"/>
  <c r="F119" i="5"/>
  <c r="F125" i="5"/>
  <c r="F120" i="5"/>
  <c r="F117" i="5"/>
  <c r="H74" i="5"/>
  <c r="H72" i="5"/>
  <c r="F117" i="9" l="1"/>
  <c r="F120" i="9"/>
  <c r="F119" i="9"/>
  <c r="F115" i="9"/>
  <c r="F116" i="9" s="1"/>
  <c r="D125" i="9"/>
  <c r="F116" i="8"/>
  <c r="H73" i="9"/>
  <c r="H74" i="8"/>
  <c r="H72" i="8"/>
  <c r="G124" i="5"/>
  <c r="F116" i="5"/>
  <c r="G76" i="5"/>
  <c r="H73" i="5"/>
  <c r="G124" i="9" l="1"/>
  <c r="G76" i="8"/>
  <c r="H73" i="8"/>
</calcChain>
</file>

<file path=xl/sharedStrings.xml><?xml version="1.0" encoding="utf-8"?>
<sst xmlns="http://schemas.openxmlformats.org/spreadsheetml/2006/main" count="656" uniqueCount="147">
  <si>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</si>
  <si>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</si>
  <si>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</si>
  <si>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</si>
  <si>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</si>
  <si>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</si>
  <si>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</si>
  <si>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</si>
  <si>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</si>
  <si>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</si>
  <si>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</si>
  <si>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</si>
  <si>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</si>
  <si>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</si>
  <si>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</si>
  <si>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</si>
  <si>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</si>
  <si>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</si>
  <si>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</si>
  <si>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</si>
  <si>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</si>
  <si>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</si>
  <si>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</si>
  <si>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</si>
  <si>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</si>
  <si>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</si>
  <si>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</si>
  <si>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</si>
  <si>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</si>
  <si>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</si>
  <si>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</si>
  <si>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</si>
  <si>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</si>
  <si>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</si>
  <si>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</si>
  <si>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</si>
  <si>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</si>
  <si>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</si>
  <si>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</si>
  <si>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</si>
  <si>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</si>
  <si>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</si>
  <si>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</si>
  <si>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</si>
  <si>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</si>
  <si>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</si>
  <si>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</si>
  <si>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</si>
  <si>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</si>
  <si>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</si>
  <si>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</si>
  <si>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</si>
  <si>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</si>
  <si>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</si>
  <si>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</si>
  <si>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</si>
  <si>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</si>
  <si>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</si>
  <si>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</si>
  <si>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</si>
  <si>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</si>
  <si>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</si>
  <si>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</si>
  <si>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</si>
  <si>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</si>
  <si>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</si>
  <si>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</si>
  <si>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</si>
  <si>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</si>
  <si>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</si>
  <si>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</si>
  <si>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</si>
  <si>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</si>
  <si>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</si>
  <si>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</si>
  <si>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</si>
  <si>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</si>
  <si>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</si>
  <si>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</si>
  <si>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</si>
  <si>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</si>
  <si>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</si>
  <si>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</si>
  <si>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</si>
  <si>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</si>
  <si>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</si>
  <si>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</si>
  <si>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</si>
  <si>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</si>
  <si>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</si>
  <si>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</si>
  <si>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</si>
  <si>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</si>
  <si>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</si>
  <si>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</si>
  <si>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</si>
  <si>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</si>
  <si>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</si>
  <si>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</si>
  <si>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</si>
  <si>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</si>
  <si>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</si>
  <si>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</si>
  <si>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</si>
  <si>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</si>
  <si>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</si>
  <si>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</si>
  <si>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</si>
  <si>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</si>
  <si>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</si>
  <si>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</si>
  <si>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</si>
  <si>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</si>
  <si>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</si>
  <si>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</si>
  <si>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</si>
  <si>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</si>
  <si>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</si>
  <si>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</si>
  <si>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</si>
  <si>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</si>
  <si>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</si>
  <si>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</si>
  <si>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</si>
  <si>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</si>
  <si>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</si>
  <si>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</si>
  <si>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</si>
  <si>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</si>
  <si>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</si>
  <si>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</si>
  <si>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</si>
  <si>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</si>
  <si>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</si>
  <si>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</si>
  <si>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</si>
  <si>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</si>
  <si>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</si>
  <si>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</si>
  <si>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</si>
  <si>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</si>
  <si>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</si>
  <si>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</si>
  <si>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</si>
  <si>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</si>
  <si>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L82 03</t>
  </si>
  <si>
    <t>NDQB201612265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</si>
</sst>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139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f>'TDF '!D43</f>
        <v>13.01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B20/10*4/50</f>
        <v>0.10407999999999999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13800187</v>
      </c>
      <c r="C24" s="465">
        <v>83804.5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13825465</v>
      </c>
      <c r="C25" s="465">
        <v>84587.8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13946355</v>
      </c>
      <c r="C26" s="465">
        <v>84614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14032825</v>
      </c>
      <c r="C27" s="465">
        <v>84136.4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14280006</v>
      </c>
      <c r="C28" s="465">
        <v>84412.9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13942954</v>
      </c>
      <c r="C29" s="468">
        <v>84005.7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13971298.666666666</v>
      </c>
      <c r="C30" s="472">
        <f>AVERAGE(C24:C29)</f>
        <v>84260.21666666666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1.2440849892013869E-2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140</v>
      </c>
      <c r="C34" s="484"/>
      <c r="D34" s="484"/>
      <c r="E34" s="484"/>
    </row>
    <row r="35" spans="1:5" ht="16.5" customHeight="1" x14ac:dyDescent="0.3">
      <c r="A35" s="458"/>
      <c r="B35" s="483" t="s">
        <v>141</v>
      </c>
      <c r="C35" s="484"/>
      <c r="D35" s="484"/>
      <c r="E35" s="484"/>
    </row>
    <row r="36" spans="1:5" ht="16.5" customHeight="1" x14ac:dyDescent="0.3">
      <c r="A36" s="458"/>
      <c r="B36" s="483" t="s">
        <v>142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f>'TDF '!D96</f>
        <v>13.01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B41/10*4/25</f>
        <v>0.20815999999999998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28932619</v>
      </c>
      <c r="C45" s="465">
        <v>78644.600000000006</v>
      </c>
      <c r="D45" s="466">
        <v>1</v>
      </c>
      <c r="E45" s="467">
        <v>6.2</v>
      </c>
    </row>
    <row r="46" spans="1:5" ht="16.5" customHeight="1" x14ac:dyDescent="0.3">
      <c r="A46" s="464">
        <v>2</v>
      </c>
      <c r="B46" s="465">
        <v>28958346</v>
      </c>
      <c r="C46" s="465">
        <v>79215.100000000006</v>
      </c>
      <c r="D46" s="466">
        <v>1</v>
      </c>
      <c r="E46" s="466">
        <v>6.2</v>
      </c>
    </row>
    <row r="47" spans="1:5" ht="16.5" customHeight="1" x14ac:dyDescent="0.3">
      <c r="A47" s="464">
        <v>3</v>
      </c>
      <c r="B47" s="465">
        <v>29107582</v>
      </c>
      <c r="C47" s="465">
        <v>80612.7</v>
      </c>
      <c r="D47" s="466">
        <v>1</v>
      </c>
      <c r="E47" s="466">
        <v>6.2</v>
      </c>
    </row>
    <row r="48" spans="1:5" ht="16.5" customHeight="1" x14ac:dyDescent="0.3">
      <c r="A48" s="464">
        <v>4</v>
      </c>
      <c r="B48" s="465">
        <v>28936795</v>
      </c>
      <c r="C48" s="465">
        <v>80079.8</v>
      </c>
      <c r="D48" s="466">
        <v>1</v>
      </c>
      <c r="E48" s="466">
        <v>6.2</v>
      </c>
    </row>
    <row r="49" spans="1:7" ht="16.5" customHeight="1" x14ac:dyDescent="0.3">
      <c r="A49" s="464">
        <v>5</v>
      </c>
      <c r="B49" s="465">
        <v>29115508</v>
      </c>
      <c r="C49" s="465">
        <v>90068.3</v>
      </c>
      <c r="D49" s="466">
        <v>1</v>
      </c>
      <c r="E49" s="466">
        <v>6.2</v>
      </c>
    </row>
    <row r="50" spans="1:7" ht="16.5" customHeight="1" x14ac:dyDescent="0.3">
      <c r="A50" s="464">
        <v>6</v>
      </c>
      <c r="B50" s="468">
        <v>29237964</v>
      </c>
      <c r="C50" s="468">
        <v>79747.399999999994</v>
      </c>
      <c r="D50" s="469">
        <v>1</v>
      </c>
      <c r="E50" s="469">
        <v>6.2</v>
      </c>
    </row>
    <row r="51" spans="1:7" ht="16.5" customHeight="1" x14ac:dyDescent="0.3">
      <c r="A51" s="470" t="s">
        <v>18</v>
      </c>
      <c r="B51" s="471">
        <f>AVERAGE(B45:B50)</f>
        <v>29048135.666666668</v>
      </c>
      <c r="C51" s="472">
        <f>AVERAGE(C45:C50)</f>
        <v>81394.650000000009</v>
      </c>
      <c r="D51" s="473">
        <f>AVERAGE(D45:D50)</f>
        <v>1</v>
      </c>
      <c r="E51" s="473">
        <f>AVERAGE(E45:E50)</f>
        <v>6.2</v>
      </c>
    </row>
    <row r="52" spans="1:7" ht="16.5" customHeight="1" x14ac:dyDescent="0.3">
      <c r="A52" s="474" t="s">
        <v>19</v>
      </c>
      <c r="B52" s="475">
        <f>(STDEV(B45:B50)/B51)</f>
        <v>4.2972967963134734E-3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140</v>
      </c>
      <c r="C55" s="484"/>
      <c r="D55" s="484"/>
      <c r="E55" s="484"/>
    </row>
    <row r="56" spans="1:7" ht="16.5" customHeight="1" x14ac:dyDescent="0.3">
      <c r="A56" s="458"/>
      <c r="B56" s="483" t="s">
        <v>141</v>
      </c>
      <c r="C56" s="484"/>
      <c r="D56" s="484"/>
      <c r="E56" s="484"/>
    </row>
    <row r="57" spans="1:7" ht="16.5" customHeight="1" x14ac:dyDescent="0.3">
      <c r="A57" s="458"/>
      <c r="B57" s="483" t="s">
        <v>142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143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144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'Lamivudine '!D96</f>
        <v>14.88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B20/10*4/50</f>
        <v>0.11903999999999999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29633498</v>
      </c>
      <c r="C24" s="510">
        <v>10998.5</v>
      </c>
      <c r="D24" s="511">
        <v>1.2</v>
      </c>
      <c r="E24" s="512">
        <v>2.2000000000000002</v>
      </c>
    </row>
    <row r="25" spans="1:5" ht="16.5" customHeight="1" x14ac:dyDescent="0.3">
      <c r="A25" s="509">
        <v>2</v>
      </c>
      <c r="B25" s="510">
        <v>29659919</v>
      </c>
      <c r="C25" s="510">
        <v>11208.2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29916922</v>
      </c>
      <c r="C26" s="510">
        <v>11263.8</v>
      </c>
      <c r="D26" s="511">
        <v>1.2</v>
      </c>
      <c r="E26" s="511">
        <v>2.2000000000000002</v>
      </c>
    </row>
    <row r="27" spans="1:5" ht="16.5" customHeight="1" x14ac:dyDescent="0.3">
      <c r="A27" s="509">
        <v>4</v>
      </c>
      <c r="B27" s="510">
        <v>30094863</v>
      </c>
      <c r="C27" s="510">
        <v>11051.6</v>
      </c>
      <c r="D27" s="511">
        <v>1.2</v>
      </c>
      <c r="E27" s="511">
        <v>2.2000000000000002</v>
      </c>
    </row>
    <row r="28" spans="1:5" ht="16.5" customHeight="1" x14ac:dyDescent="0.3">
      <c r="A28" s="509">
        <v>5</v>
      </c>
      <c r="B28" s="510">
        <v>30623382</v>
      </c>
      <c r="C28" s="510">
        <v>11055.2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29913380</v>
      </c>
      <c r="C29" s="513">
        <v>10913.4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29973660.666666668</v>
      </c>
      <c r="C30" s="517">
        <f>AVERAGE(C24:C29)</f>
        <v>11081.783333333333</v>
      </c>
      <c r="D30" s="518">
        <f>AVERAGE(D24:D29)</f>
        <v>1.1666666666666667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1.2101257601495906E-2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f>'Lamivudine '!D96</f>
        <v>14.88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B41/10*3/25</f>
        <v>0.17856000000000002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94168305</v>
      </c>
      <c r="C45" s="510">
        <v>12833.4</v>
      </c>
      <c r="D45" s="511">
        <v>1.1000000000000001</v>
      </c>
      <c r="E45" s="512">
        <v>2.6</v>
      </c>
    </row>
    <row r="46" spans="1:5" ht="16.5" customHeight="1" x14ac:dyDescent="0.3">
      <c r="A46" s="509">
        <v>2</v>
      </c>
      <c r="B46" s="510">
        <v>94293194</v>
      </c>
      <c r="C46" s="510">
        <v>12996.9</v>
      </c>
      <c r="D46" s="511">
        <v>1.1000000000000001</v>
      </c>
      <c r="E46" s="511">
        <v>2.6</v>
      </c>
    </row>
    <row r="47" spans="1:5" ht="16.5" customHeight="1" x14ac:dyDescent="0.3">
      <c r="A47" s="509">
        <v>3</v>
      </c>
      <c r="B47" s="510">
        <v>94716871</v>
      </c>
      <c r="C47" s="510">
        <v>13108.9</v>
      </c>
      <c r="D47" s="511">
        <v>1.1000000000000001</v>
      </c>
      <c r="E47" s="511">
        <v>2.6</v>
      </c>
    </row>
    <row r="48" spans="1:5" ht="16.5" customHeight="1" x14ac:dyDescent="0.3">
      <c r="A48" s="509">
        <v>4</v>
      </c>
      <c r="B48" s="510">
        <v>93287256</v>
      </c>
      <c r="C48" s="510">
        <v>13243.8</v>
      </c>
      <c r="D48" s="511">
        <v>1.1000000000000001</v>
      </c>
      <c r="E48" s="511">
        <v>2.6</v>
      </c>
    </row>
    <row r="49" spans="1:7" ht="16.5" customHeight="1" x14ac:dyDescent="0.3">
      <c r="A49" s="509">
        <v>5</v>
      </c>
      <c r="B49" s="510">
        <v>93740934</v>
      </c>
      <c r="C49" s="510">
        <v>14695.1</v>
      </c>
      <c r="D49" s="511">
        <v>1.1000000000000001</v>
      </c>
      <c r="E49" s="511">
        <v>2.6</v>
      </c>
    </row>
    <row r="50" spans="1:7" ht="16.5" customHeight="1" x14ac:dyDescent="0.3">
      <c r="A50" s="509">
        <v>6</v>
      </c>
      <c r="B50" s="513">
        <v>94948020</v>
      </c>
      <c r="C50" s="513">
        <v>12308</v>
      </c>
      <c r="D50" s="514">
        <v>1.1000000000000001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94192430</v>
      </c>
      <c r="C51" s="517">
        <f>AVERAGE(C45:C50)</f>
        <v>13197.683333333334</v>
      </c>
      <c r="D51" s="518">
        <f>AVERAGE(D45:D50)</f>
        <v>1.0999999999999999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6.5097438632892727E-3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143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zoomScale="60" zoomScaleNormal="100" workbookViewId="0">
      <selection activeCell="G36" sqref="G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50" zoomScaleNormal="40" zoomScalePageLayoutView="50" workbookViewId="0">
      <selection activeCell="G115" sqref="G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7" t="s">
        <v>45</v>
      </c>
      <c r="B1" s="557"/>
      <c r="C1" s="557"/>
      <c r="D1" s="557"/>
      <c r="E1" s="557"/>
      <c r="F1" s="557"/>
      <c r="G1" s="557"/>
      <c r="H1" s="557"/>
      <c r="I1" s="557"/>
    </row>
    <row r="2" spans="1:9" ht="18.7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8.7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</row>
    <row r="4" spans="1:9" ht="18.75" customHeight="1" x14ac:dyDescent="0.25">
      <c r="A4" s="557"/>
      <c r="B4" s="557"/>
      <c r="C4" s="557"/>
      <c r="D4" s="557"/>
      <c r="E4" s="557"/>
      <c r="F4" s="557"/>
      <c r="G4" s="557"/>
      <c r="H4" s="557"/>
      <c r="I4" s="557"/>
    </row>
    <row r="5" spans="1:9" ht="18.75" customHeight="1" x14ac:dyDescent="0.25">
      <c r="A5" s="557"/>
      <c r="B5" s="557"/>
      <c r="C5" s="557"/>
      <c r="D5" s="557"/>
      <c r="E5" s="557"/>
      <c r="F5" s="557"/>
      <c r="G5" s="557"/>
      <c r="H5" s="557"/>
      <c r="I5" s="557"/>
    </row>
    <row r="6" spans="1:9" ht="18.75" customHeight="1" x14ac:dyDescent="0.25">
      <c r="A6" s="557"/>
      <c r="B6" s="557"/>
      <c r="C6" s="557"/>
      <c r="D6" s="557"/>
      <c r="E6" s="557"/>
      <c r="F6" s="557"/>
      <c r="G6" s="557"/>
      <c r="H6" s="557"/>
      <c r="I6" s="557"/>
    </row>
    <row r="7" spans="1:9" ht="18.75" customHeight="1" x14ac:dyDescent="0.25">
      <c r="A7" s="557"/>
      <c r="B7" s="557"/>
      <c r="C7" s="557"/>
      <c r="D7" s="557"/>
      <c r="E7" s="557"/>
      <c r="F7" s="557"/>
      <c r="G7" s="557"/>
      <c r="H7" s="557"/>
      <c r="I7" s="557"/>
    </row>
    <row r="8" spans="1:9" x14ac:dyDescent="0.25">
      <c r="A8" s="558" t="s">
        <v>46</v>
      </c>
      <c r="B8" s="558"/>
      <c r="C8" s="558"/>
      <c r="D8" s="558"/>
      <c r="E8" s="558"/>
      <c r="F8" s="558"/>
      <c r="G8" s="558"/>
      <c r="H8" s="558"/>
      <c r="I8" s="558"/>
    </row>
    <row r="9" spans="1:9" x14ac:dyDescent="0.25">
      <c r="A9" s="558"/>
      <c r="B9" s="558"/>
      <c r="C9" s="558"/>
      <c r="D9" s="558"/>
      <c r="E9" s="558"/>
      <c r="F9" s="558"/>
      <c r="G9" s="558"/>
      <c r="H9" s="558"/>
      <c r="I9" s="558"/>
    </row>
    <row r="10" spans="1:9" x14ac:dyDescent="0.25">
      <c r="A10" s="558"/>
      <c r="B10" s="558"/>
      <c r="C10" s="558"/>
      <c r="D10" s="558"/>
      <c r="E10" s="558"/>
      <c r="F10" s="558"/>
      <c r="G10" s="558"/>
      <c r="H10" s="558"/>
      <c r="I10" s="558"/>
    </row>
    <row r="11" spans="1:9" x14ac:dyDescent="0.25">
      <c r="A11" s="558"/>
      <c r="B11" s="558"/>
      <c r="C11" s="558"/>
      <c r="D11" s="558"/>
      <c r="E11" s="558"/>
      <c r="F11" s="558"/>
      <c r="G11" s="558"/>
      <c r="H11" s="558"/>
      <c r="I11" s="558"/>
    </row>
    <row r="12" spans="1:9" x14ac:dyDescent="0.25">
      <c r="A12" s="558"/>
      <c r="B12" s="558"/>
      <c r="C12" s="558"/>
      <c r="D12" s="558"/>
      <c r="E12" s="558"/>
      <c r="F12" s="558"/>
      <c r="G12" s="558"/>
      <c r="H12" s="558"/>
      <c r="I12" s="558"/>
    </row>
    <row r="13" spans="1:9" x14ac:dyDescent="0.25">
      <c r="A13" s="558"/>
      <c r="B13" s="558"/>
      <c r="C13" s="558"/>
      <c r="D13" s="558"/>
      <c r="E13" s="558"/>
      <c r="F13" s="558"/>
      <c r="G13" s="558"/>
      <c r="H13" s="558"/>
      <c r="I13" s="558"/>
    </row>
    <row r="14" spans="1:9" x14ac:dyDescent="0.25">
      <c r="A14" s="558"/>
      <c r="B14" s="558"/>
      <c r="C14" s="558"/>
      <c r="D14" s="558"/>
      <c r="E14" s="558"/>
      <c r="F14" s="558"/>
      <c r="G14" s="558"/>
      <c r="H14" s="558"/>
      <c r="I14" s="558"/>
    </row>
    <row r="15" spans="1:9" ht="19.5" customHeight="1" x14ac:dyDescent="0.3">
      <c r="A15" s="98"/>
    </row>
    <row r="16" spans="1:9" ht="19.5" customHeight="1" x14ac:dyDescent="0.3">
      <c r="A16" s="590" t="s">
        <v>31</v>
      </c>
      <c r="B16" s="591"/>
      <c r="C16" s="591"/>
      <c r="D16" s="591"/>
      <c r="E16" s="591"/>
      <c r="F16" s="591"/>
      <c r="G16" s="591"/>
      <c r="H16" s="592"/>
    </row>
    <row r="17" spans="1:14" ht="20.25" customHeight="1" x14ac:dyDescent="0.25">
      <c r="A17" s="593" t="s">
        <v>47</v>
      </c>
      <c r="B17" s="593"/>
      <c r="C17" s="593"/>
      <c r="D17" s="593"/>
      <c r="E17" s="593"/>
      <c r="F17" s="593"/>
      <c r="G17" s="593"/>
      <c r="H17" s="593"/>
    </row>
    <row r="18" spans="1:14" ht="26.25" customHeight="1" x14ac:dyDescent="0.4">
      <c r="A18" s="100" t="s">
        <v>33</v>
      </c>
      <c r="B18" s="589" t="str">
        <f>Uniformity!C14</f>
        <v>TENOFOVIR DISOPROXIL FUMARATE/  LAMIVUDINE/ EFAVIRENZ  TABLETS 300 MG/300 MG /600 MG</v>
      </c>
      <c r="C18" s="58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146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94" t="s">
        <v>137</v>
      </c>
      <c r="C20" s="5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94" t="s">
        <v>11</v>
      </c>
      <c r="C21" s="594"/>
      <c r="D21" s="594"/>
      <c r="E21" s="594"/>
      <c r="F21" s="594"/>
      <c r="G21" s="594"/>
      <c r="H21" s="594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89" t="s">
        <v>137</v>
      </c>
      <c r="C26" s="589"/>
    </row>
    <row r="27" spans="1:14" ht="26.25" customHeight="1" x14ac:dyDescent="0.4">
      <c r="A27" s="109" t="s">
        <v>48</v>
      </c>
      <c r="B27" s="595" t="s">
        <v>138</v>
      </c>
      <c r="C27" s="59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5" t="s">
        <v>50</v>
      </c>
      <c r="D29" s="566"/>
      <c r="E29" s="566"/>
      <c r="F29" s="566"/>
      <c r="G29" s="5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8" t="s">
        <v>53</v>
      </c>
      <c r="D31" s="569"/>
      <c r="E31" s="569"/>
      <c r="F31" s="569"/>
      <c r="G31" s="569"/>
      <c r="H31" s="5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8" t="s">
        <v>55</v>
      </c>
      <c r="D32" s="569"/>
      <c r="E32" s="569"/>
      <c r="F32" s="569"/>
      <c r="G32" s="569"/>
      <c r="H32" s="5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571" t="s">
        <v>59</v>
      </c>
      <c r="E36" s="596"/>
      <c r="F36" s="571" t="s">
        <v>60</v>
      </c>
      <c r="G36" s="5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573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5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559" t="s">
        <v>78</v>
      </c>
      <c r="B46" s="560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561"/>
      <c r="B47" s="562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1912.9490000000001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76" t="s">
        <v>94</v>
      </c>
      <c r="D60" s="579">
        <v>1974.35</v>
      </c>
      <c r="E60" s="182">
        <v>1</v>
      </c>
      <c r="F60" s="183">
        <v>9417094</v>
      </c>
      <c r="G60" s="248">
        <f>IF(ISBLANK(F60),"-",(F60/$D$50*$D$47*$B$68)*($B$57/$D$60))</f>
        <v>581.00622964718309</v>
      </c>
      <c r="H60" s="266">
        <f t="shared" ref="H60:H71" si="0">IF(ISBLANK(F60),"-",(G60/$B$56)*100)</f>
        <v>96.834371607863844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77"/>
      <c r="D61" s="580"/>
      <c r="E61" s="184">
        <v>2</v>
      </c>
      <c r="F61" s="137">
        <v>9484906</v>
      </c>
      <c r="G61" s="249">
        <f>IF(ISBLANK(F61),"-",(F61/$D$50*$D$47*$B$68)*($B$57/$D$60))</f>
        <v>585.1900250351058</v>
      </c>
      <c r="H61" s="267">
        <f t="shared" si="0"/>
        <v>97.531670839184301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77"/>
      <c r="D62" s="580"/>
      <c r="E62" s="184">
        <v>3</v>
      </c>
      <c r="F62" s="185">
        <v>9548991</v>
      </c>
      <c r="G62" s="249">
        <f>IF(ISBLANK(F62),"-",(F62/$D$50*$D$47*$B$68)*($B$57/$D$60))</f>
        <v>589.14387579065101</v>
      </c>
      <c r="H62" s="267">
        <f t="shared" si="0"/>
        <v>98.190645965108502</v>
      </c>
      <c r="L62" s="112"/>
    </row>
    <row r="63" spans="1:12" ht="27" customHeight="1" x14ac:dyDescent="0.4">
      <c r="A63" s="124" t="s">
        <v>97</v>
      </c>
      <c r="B63" s="125">
        <v>1</v>
      </c>
      <c r="C63" s="586"/>
      <c r="D63" s="58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76" t="s">
        <v>99</v>
      </c>
      <c r="D64" s="579">
        <v>1919.84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577"/>
      <c r="D65" s="580"/>
      <c r="E65" s="184">
        <v>2</v>
      </c>
      <c r="F65" s="137">
        <v>9538842</v>
      </c>
      <c r="G65" s="249">
        <f>IF(ISBLANK(F65),"-",(F65/$D$50*$D$47*$B$68)*($B$57/$D$64))</f>
        <v>605.22749135561514</v>
      </c>
      <c r="H65" s="267">
        <f t="shared" si="0"/>
        <v>100.87124855926919</v>
      </c>
    </row>
    <row r="66" spans="1:8" ht="26.25" customHeight="1" x14ac:dyDescent="0.4">
      <c r="A66" s="124" t="s">
        <v>101</v>
      </c>
      <c r="B66" s="125">
        <v>1</v>
      </c>
      <c r="C66" s="577"/>
      <c r="D66" s="580"/>
      <c r="E66" s="184">
        <v>3</v>
      </c>
      <c r="F66" s="137">
        <v>9528566</v>
      </c>
      <c r="G66" s="249">
        <f>IF(ISBLANK(F66),"-",(F66/$D$50*$D$47*$B$68)*($B$57/$D$64))</f>
        <v>604.57549211910725</v>
      </c>
      <c r="H66" s="267">
        <f t="shared" si="0"/>
        <v>100.76258201985119</v>
      </c>
    </row>
    <row r="67" spans="1:8" ht="27" customHeight="1" x14ac:dyDescent="0.4">
      <c r="A67" s="124" t="s">
        <v>102</v>
      </c>
      <c r="B67" s="125">
        <v>1</v>
      </c>
      <c r="C67" s="586"/>
      <c r="D67" s="58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576" t="s">
        <v>104</v>
      </c>
      <c r="D68" s="579">
        <v>1949.42</v>
      </c>
      <c r="E68" s="182">
        <v>1</v>
      </c>
      <c r="F68" s="183">
        <v>9412282</v>
      </c>
      <c r="G68" s="248">
        <f>IF(ISBLANK(F68),"-",(F68/$D$50*$D$47*$B$68)*($B$57/$D$68))</f>
        <v>588.13569827010269</v>
      </c>
      <c r="H68" s="267">
        <f t="shared" si="0"/>
        <v>98.022616378350449</v>
      </c>
    </row>
    <row r="69" spans="1:8" ht="27" customHeight="1" x14ac:dyDescent="0.4">
      <c r="A69" s="172" t="s">
        <v>105</v>
      </c>
      <c r="B69" s="189">
        <f>(D47*B68)/B56*B57</f>
        <v>1530.3592000000001</v>
      </c>
      <c r="C69" s="577"/>
      <c r="D69" s="580"/>
      <c r="E69" s="184">
        <v>2</v>
      </c>
      <c r="F69" s="137">
        <v>9479808</v>
      </c>
      <c r="G69" s="249">
        <f>IF(ISBLANK(F69),"-",(F69/$D$50*$D$47*$B$68)*($B$57/$D$68))</f>
        <v>592.35512679565966</v>
      </c>
      <c r="H69" s="267">
        <f t="shared" si="0"/>
        <v>98.725854465943272</v>
      </c>
    </row>
    <row r="70" spans="1:8" ht="26.25" customHeight="1" x14ac:dyDescent="0.4">
      <c r="A70" s="582" t="s">
        <v>78</v>
      </c>
      <c r="B70" s="583"/>
      <c r="C70" s="577"/>
      <c r="D70" s="580"/>
      <c r="E70" s="184">
        <v>3</v>
      </c>
      <c r="F70" s="137">
        <v>9361467</v>
      </c>
      <c r="G70" s="249">
        <f>IF(ISBLANK(F70),"-",(F70/$D$50*$D$47*$B$68)*($B$57/$D$68))</f>
        <v>584.96047301573878</v>
      </c>
      <c r="H70" s="267">
        <f t="shared" si="0"/>
        <v>97.493412169289797</v>
      </c>
    </row>
    <row r="71" spans="1:8" ht="27" customHeight="1" x14ac:dyDescent="0.4">
      <c r="A71" s="584"/>
      <c r="B71" s="585"/>
      <c r="C71" s="578"/>
      <c r="D71" s="58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591.32430150364542</v>
      </c>
      <c r="H72" s="269">
        <f>AVERAGE(H60:H71)</f>
        <v>98.55405025060756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1.5253150488235586E-2</v>
      </c>
      <c r="H73" s="253">
        <f>STDEV(H60:H71)/H72</f>
        <v>1.5253150488235563E-2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563" t="str">
        <f>B26</f>
        <v>Efavirenz</v>
      </c>
      <c r="D76" s="563"/>
      <c r="E76" s="198" t="s">
        <v>108</v>
      </c>
      <c r="F76" s="198"/>
      <c r="G76" s="199">
        <f>H72</f>
        <v>98.55405025060756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97" t="str">
        <f>B26</f>
        <v>Efavirenz</v>
      </c>
      <c r="C79" s="597"/>
    </row>
    <row r="80" spans="1:8" ht="26.25" customHeight="1" x14ac:dyDescent="0.4">
      <c r="A80" s="109" t="s">
        <v>48</v>
      </c>
      <c r="B80" s="597" t="str">
        <f>B27</f>
        <v>E35 1</v>
      </c>
      <c r="C80" s="597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5" t="s">
        <v>50</v>
      </c>
      <c r="D82" s="566"/>
      <c r="E82" s="566"/>
      <c r="F82" s="566"/>
      <c r="G82" s="5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8" t="s">
        <v>111</v>
      </c>
      <c r="D84" s="569"/>
      <c r="E84" s="569"/>
      <c r="F84" s="569"/>
      <c r="G84" s="569"/>
      <c r="H84" s="5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8" t="s">
        <v>112</v>
      </c>
      <c r="D85" s="569"/>
      <c r="E85" s="569"/>
      <c r="F85" s="569"/>
      <c r="G85" s="569"/>
      <c r="H85" s="5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571" t="s">
        <v>60</v>
      </c>
      <c r="G89" s="572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573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57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559" t="s">
        <v>78</v>
      </c>
      <c r="B99" s="574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561"/>
      <c r="B100" s="575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18436084</v>
      </c>
      <c r="E108" s="250">
        <f t="shared" ref="E108:E113" si="1">IF(ISBLANK(D108),"-",D108/$D$103*$D$100*$B$116)</f>
        <v>596.54337444237535</v>
      </c>
      <c r="F108" s="277">
        <f t="shared" ref="F108:F113" si="2">IF(ISBLANK(D108), "-", (E108/$B$56)*100)</f>
        <v>99.423895740395892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18356872</v>
      </c>
      <c r="E109" s="251">
        <f t="shared" si="1"/>
        <v>593.98028166321853</v>
      </c>
      <c r="F109" s="278">
        <f t="shared" si="2"/>
        <v>98.996713610536418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18435112</v>
      </c>
      <c r="E110" s="251">
        <f t="shared" si="1"/>
        <v>596.51192306908172</v>
      </c>
      <c r="F110" s="278">
        <f t="shared" si="2"/>
        <v>99.418653844846943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18478796</v>
      </c>
      <c r="E111" s="251">
        <f t="shared" si="1"/>
        <v>597.92542285402203</v>
      </c>
      <c r="F111" s="278">
        <f t="shared" si="2"/>
        <v>99.65423714233701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18686741</v>
      </c>
      <c r="E112" s="251">
        <f t="shared" si="1"/>
        <v>604.653978223938</v>
      </c>
      <c r="F112" s="278">
        <f t="shared" si="2"/>
        <v>100.775663037323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18490762</v>
      </c>
      <c r="E113" s="252">
        <f t="shared" si="1"/>
        <v>598.31261126228583</v>
      </c>
      <c r="F113" s="279">
        <f t="shared" si="2"/>
        <v>99.718768543714305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597.98793191915354</v>
      </c>
      <c r="F115" s="281">
        <f>AVERAGE(F108:F113)</f>
        <v>99.664655319858937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6.0235369417883534E-3</v>
      </c>
      <c r="F116" s="235">
        <f>STDEV(F108:F113)/F115</f>
        <v>6.0235369417883699E-3</v>
      </c>
      <c r="I116" s="98"/>
    </row>
    <row r="117" spans="1:10" ht="27" customHeight="1" x14ac:dyDescent="0.4">
      <c r="A117" s="559" t="s">
        <v>78</v>
      </c>
      <c r="B117" s="56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61"/>
      <c r="B118" s="562"/>
      <c r="C118" s="98"/>
      <c r="D118" s="260"/>
      <c r="E118" s="587" t="s">
        <v>123</v>
      </c>
      <c r="F118" s="58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593.98028166321853</v>
      </c>
      <c r="F119" s="282">
        <f>MIN(F108:F113)</f>
        <v>98.996713610536418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604.653978223938</v>
      </c>
      <c r="F120" s="283">
        <f>MAX(F108:F113)</f>
        <v>100.775663037323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63" t="str">
        <f>B26</f>
        <v>Efavirenz</v>
      </c>
      <c r="D124" s="563"/>
      <c r="E124" s="198" t="s">
        <v>127</v>
      </c>
      <c r="F124" s="198"/>
      <c r="G124" s="284">
        <f>F115</f>
        <v>99.664655319858937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98.996713610536418</v>
      </c>
      <c r="E125" s="209" t="s">
        <v>130</v>
      </c>
      <c r="F125" s="284">
        <f>MAX(F108:F113)</f>
        <v>100.775663037323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64" t="s">
        <v>26</v>
      </c>
      <c r="C127" s="564"/>
      <c r="E127" s="204" t="s">
        <v>27</v>
      </c>
      <c r="F127" s="239"/>
      <c r="G127" s="564" t="s">
        <v>28</v>
      </c>
      <c r="H127" s="564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8" zoomScale="50" zoomScaleNormal="40" zoomScalePageLayoutView="50" workbookViewId="0">
      <selection activeCell="A88" sqref="A88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str">
        <f>Efavirenz!B18</f>
        <v>TENOFOVIR DISOPROXIL FUMARATE/  LAMIVUDINE/ EFAVIRENZ  TABLETS 300 MG/300 MG /600 MG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NDQB201612265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131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tr">
        <f>'Lamivudine '!B21</f>
        <v>Each film coated tablet contains: Tenofovir Disoproxil Fumarate 300 mg equivalent to Tenofovir Disoproxil 245 mg and Lamivudine USP 300 mg.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f>Efavirenz!B22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133</v>
      </c>
      <c r="C26" s="607"/>
    </row>
    <row r="27" spans="1:14" ht="26.25" customHeight="1" x14ac:dyDescent="0.4">
      <c r="A27" s="300" t="s">
        <v>48</v>
      </c>
      <c r="B27" s="609" t="s">
        <v>134</v>
      </c>
      <c r="C27" s="609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14133420</v>
      </c>
      <c r="E38" s="324">
        <f>IF(ISBLANK(D38),"-",$D$48/$D$45*D38)</f>
        <v>16493175.601452637</v>
      </c>
      <c r="F38" s="323">
        <v>18912221</v>
      </c>
      <c r="G38" s="325">
        <f>IF(ISBLANK(F38),"-",$D$48/$F$45*F38)</f>
        <v>16501658.697473127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14337071</v>
      </c>
      <c r="E39" s="329">
        <f>IF(ISBLANK(D39),"-",$D$48/$D$45*D39)</f>
        <v>16730828.745872842</v>
      </c>
      <c r="F39" s="328">
        <v>18547875</v>
      </c>
      <c r="G39" s="330">
        <f>IF(ISBLANK(F39),"-",$D$48/$F$45*F39)</f>
        <v>16183752.443110431</v>
      </c>
      <c r="I39" s="617">
        <f>ABS((F43/D43*D42)-F42)/D42</f>
        <v>6.3680275709020132E-3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13932732</v>
      </c>
      <c r="E40" s="329">
        <f>IF(ISBLANK(D40),"-",$D$48/$D$45*D40)</f>
        <v>16258980.167855933</v>
      </c>
      <c r="F40" s="328">
        <v>18981338</v>
      </c>
      <c r="G40" s="330">
        <f>IF(ISBLANK(F40),"-",$D$48/$F$45*F40)</f>
        <v>16561966.005863467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14134407.666666666</v>
      </c>
      <c r="E42" s="338">
        <f>AVERAGE(E38:E41)</f>
        <v>16494328.171727138</v>
      </c>
      <c r="F42" s="337">
        <f>AVERAGE(F38:F41)</f>
        <v>18813811.333333332</v>
      </c>
      <c r="G42" s="339">
        <f>AVERAGE(G38:G41)</f>
        <v>16415792.382149009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13.01</v>
      </c>
      <c r="E43" s="289"/>
      <c r="F43" s="341">
        <v>17.399999999999999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13.01</v>
      </c>
      <c r="E44" s="344"/>
      <c r="F44" s="343">
        <f>F43*$B$34</f>
        <v>17.399999999999999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12.853879999999998</v>
      </c>
      <c r="E45" s="346"/>
      <c r="F45" s="345">
        <f>F44*$B$30/100</f>
        <v>17.191199999999998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0.10283103999999998</v>
      </c>
      <c r="E46" s="348"/>
      <c r="F46" s="349">
        <f>F45/$B$45</f>
        <v>0.13752959999999997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16455060.276938075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1.22498568578114E-2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1912.9490000000001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22" t="s">
        <v>94</v>
      </c>
      <c r="D60" s="625">
        <f>Efavirenz!D60</f>
        <v>1974.35</v>
      </c>
      <c r="E60" s="369">
        <v>1</v>
      </c>
      <c r="F60" s="370">
        <v>20626804</v>
      </c>
      <c r="G60" s="371">
        <f>IF(ISBLANK(F60),"-",(F60/$D$50*$D$47*$B$68)*($B$57/$D$60))</f>
        <v>291.48952578686783</v>
      </c>
      <c r="H60" s="372">
        <f t="shared" ref="H60:H71" si="0">IF(ISBLANK(F60),"-",(G60/$B$56)*100)</f>
        <v>97.163175262289286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3"/>
      <c r="D61" s="626"/>
      <c r="E61" s="373">
        <v>2</v>
      </c>
      <c r="F61" s="328">
        <v>20747825</v>
      </c>
      <c r="G61" s="374">
        <f>IF(ISBLANK(F61),"-",(F61/$D$50*$D$47*$B$68)*($B$57/$D$60))</f>
        <v>293.1997448736567</v>
      </c>
      <c r="H61" s="375">
        <f t="shared" si="0"/>
        <v>97.733248291218899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>
        <v>20876584</v>
      </c>
      <c r="G62" s="374">
        <f>IF(ISBLANK(F62),"-",(F62/$D$50*$D$47*$B$68)*($B$57/$D$60))</f>
        <v>295.01931419960715</v>
      </c>
      <c r="H62" s="375">
        <f t="shared" si="0"/>
        <v>98.339771399869051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Efavirenz!D64</f>
        <v>1919.84</v>
      </c>
      <c r="E64" s="369">
        <v>1</v>
      </c>
      <c r="F64" s="370"/>
      <c r="G64" s="371" t="str">
        <f>IF(ISBLANK(F64),"-",(F64/$D$50*$D$47*$B$68)*($B$57/$D$64))</f>
        <v>-</v>
      </c>
      <c r="H64" s="372" t="str">
        <f t="shared" si="0"/>
        <v>-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20270639</v>
      </c>
      <c r="G65" s="374">
        <f>IF(ISBLANK(F65),"-",(F65/$D$50*$D$47*$B$68)*($B$57/$D$64))</f>
        <v>294.58970077138582</v>
      </c>
      <c r="H65" s="375">
        <f t="shared" si="0"/>
        <v>98.196566923795274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20202996</v>
      </c>
      <c r="G66" s="374">
        <f>IF(ISBLANK(F66),"-",(F66/$D$50*$D$47*$B$68)*($B$57/$D$64))</f>
        <v>293.6066567179015</v>
      </c>
      <c r="H66" s="375">
        <f t="shared" si="0"/>
        <v>97.868885572633829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22" t="s">
        <v>104</v>
      </c>
      <c r="D68" s="625">
        <f>Efavirenz!D68</f>
        <v>1949.42</v>
      </c>
      <c r="E68" s="369">
        <v>1</v>
      </c>
      <c r="F68" s="370">
        <v>20939089</v>
      </c>
      <c r="G68" s="371">
        <f>IF(ISBLANK(F68),"-",(F68/$D$50*$D$47*$B$68)*($B$57/$D$68))</f>
        <v>299.68673578314844</v>
      </c>
      <c r="H68" s="375">
        <f t="shared" si="0"/>
        <v>99.895578594382812</v>
      </c>
    </row>
    <row r="69" spans="1:8" ht="27" customHeight="1" thickBot="1" x14ac:dyDescent="0.45">
      <c r="A69" s="360" t="s">
        <v>105</v>
      </c>
      <c r="B69" s="382">
        <f>(D47*B68)/B56*B57</f>
        <v>1530.3592000000001</v>
      </c>
      <c r="C69" s="623"/>
      <c r="D69" s="626"/>
      <c r="E69" s="373">
        <v>2</v>
      </c>
      <c r="F69" s="328">
        <v>21097712</v>
      </c>
      <c r="G69" s="374">
        <f>IF(ISBLANK(F69),"-",(F69/$D$50*$D$47*$B$68)*($B$57/$D$68))</f>
        <v>301.95699735422863</v>
      </c>
      <c r="H69" s="375">
        <f t="shared" si="0"/>
        <v>100.65233245140955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20812439</v>
      </c>
      <c r="G70" s="374">
        <f>IF(ISBLANK(F70),"-",(F70/$D$50*$D$47*$B$68)*($B$57/$D$68))</f>
        <v>297.87408170412243</v>
      </c>
      <c r="H70" s="375">
        <f t="shared" si="0"/>
        <v>99.291360568040815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295.92784464886483</v>
      </c>
      <c r="H72" s="385">
        <f>AVERAGE(H60:H71)</f>
        <v>98.642614882954931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1.2077175468563611E-2</v>
      </c>
      <c r="H73" s="387">
        <f>STDEV(H60:H71)/H72</f>
        <v>1.2077175468563617E-2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8</v>
      </c>
      <c r="H74" s="389">
        <f>COUNT(H60:H71)</f>
        <v>8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Tenofovir DF</v>
      </c>
      <c r="D76" s="613"/>
      <c r="E76" s="289" t="s">
        <v>108</v>
      </c>
      <c r="F76" s="289"/>
      <c r="G76" s="390">
        <f>H72</f>
        <v>98.642614882954931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Tenofovir DF</v>
      </c>
      <c r="C79" s="634"/>
    </row>
    <row r="80" spans="1:8" ht="26.25" customHeight="1" x14ac:dyDescent="0.4">
      <c r="A80" s="300" t="s">
        <v>48</v>
      </c>
      <c r="B80" s="634" t="str">
        <f>B27</f>
        <v>T11 8</v>
      </c>
      <c r="C80" s="634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4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539">
        <v>28936795</v>
      </c>
      <c r="E91" s="324">
        <f>IF(ISBLANK(D91),"-",$D$101/$D$98*D91)</f>
        <v>42210204.720286794</v>
      </c>
      <c r="F91" s="539">
        <v>38897375</v>
      </c>
      <c r="G91" s="325">
        <f>IF(ISBLANK(F91),"-",$D$101/$F$98*F91)</f>
        <v>42424367.190772027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29115508</v>
      </c>
      <c r="E92" s="329">
        <f>IF(ISBLANK(D92),"-",$D$101/$D$98*D92)</f>
        <v>42470894.002433509</v>
      </c>
      <c r="F92" s="540">
        <v>38875232</v>
      </c>
      <c r="G92" s="330">
        <f>IF(ISBLANK(F92),"-",$D$101/$F$98*F92)</f>
        <v>42400216.389780819</v>
      </c>
      <c r="I92" s="617">
        <f>ABS((F96/D96*D95)-F95)/D95</f>
        <v>2.4328566259374583E-3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29005422</v>
      </c>
      <c r="E93" s="329">
        <f>IF(ISBLANK(D93),"-",$D$101/$D$98*D93)</f>
        <v>42310311.166744985</v>
      </c>
      <c r="F93" s="540">
        <v>38873044</v>
      </c>
      <c r="G93" s="330">
        <f>IF(ISBLANK(F93),"-",$D$101/$F$98*F93)</f>
        <v>42397829.994415753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29019241.666666668</v>
      </c>
      <c r="E95" s="338">
        <f>AVERAGE(E91:E94)</f>
        <v>42330469.963155091</v>
      </c>
      <c r="F95" s="398">
        <f>AVERAGE(F91:F94)</f>
        <v>38881883.666666664</v>
      </c>
      <c r="G95" s="399">
        <f>AVERAGE(G91:G94)</f>
        <v>42407471.191656202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13.01</v>
      </c>
      <c r="E96" s="289"/>
      <c r="F96" s="341">
        <f>F43</f>
        <v>17.399999999999999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13.01</v>
      </c>
      <c r="E97" s="344"/>
      <c r="F97" s="343">
        <f>F96*$B$87</f>
        <v>17.399999999999999</v>
      </c>
    </row>
    <row r="98" spans="1:10" ht="19.5" customHeight="1" thickBot="1" x14ac:dyDescent="0.35">
      <c r="A98" s="315" t="s">
        <v>76</v>
      </c>
      <c r="B98" s="344">
        <f>(B97/B96)*(B95/B94)*(B93/B92)*(B91/B90)*B89</f>
        <v>62.5</v>
      </c>
      <c r="C98" s="402" t="s">
        <v>115</v>
      </c>
      <c r="D98" s="404">
        <f>D97*$B$83/100</f>
        <v>12.853879999999998</v>
      </c>
      <c r="E98" s="346"/>
      <c r="F98" s="345">
        <f>F97*$B$83/100</f>
        <v>17.191199999999998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0.20566207999999997</v>
      </c>
      <c r="E99" s="346"/>
      <c r="F99" s="349">
        <f>F98/$B$98</f>
        <v>0.27505919999999995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18.75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18.75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42368970.577405646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2.21191223927223E-3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41490229</v>
      </c>
      <c r="E108" s="418">
        <f t="shared" ref="E108:E113" si="1">IF(ISBLANK(D108),"-",D108/$D$103*$D$100*$B$116)</f>
        <v>293.77793537041288</v>
      </c>
      <c r="F108" s="419">
        <f t="shared" ref="F108:F113" si="2">IF(ISBLANK(D108), "-", (E108/$B$56)*100)</f>
        <v>97.925978456804302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41491394</v>
      </c>
      <c r="E109" s="421">
        <f t="shared" si="1"/>
        <v>293.78618433174552</v>
      </c>
      <c r="F109" s="422">
        <f t="shared" si="2"/>
        <v>97.928728110581844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41994650</v>
      </c>
      <c r="E110" s="421">
        <f t="shared" si="1"/>
        <v>297.34956569179479</v>
      </c>
      <c r="F110" s="422">
        <f t="shared" si="2"/>
        <v>99.116521897264931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42088892</v>
      </c>
      <c r="E111" s="421">
        <f t="shared" si="1"/>
        <v>298.01686063936364</v>
      </c>
      <c r="F111" s="422">
        <f t="shared" si="2"/>
        <v>99.338953546454547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42551627</v>
      </c>
      <c r="E112" s="421">
        <f t="shared" si="1"/>
        <v>301.29332683875799</v>
      </c>
      <c r="F112" s="422">
        <f t="shared" si="2"/>
        <v>100.43110894625266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42148417</v>
      </c>
      <c r="E113" s="424">
        <f t="shared" si="1"/>
        <v>298.43833653921769</v>
      </c>
      <c r="F113" s="425">
        <f t="shared" si="2"/>
        <v>99.479445513072562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297.11036823521545</v>
      </c>
      <c r="F115" s="429">
        <f>AVERAGE(F108:F113)</f>
        <v>99.036789411738482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9.7890638160463232E-3</v>
      </c>
      <c r="F116" s="432">
        <f>STDEV(F108:F113)/F115</f>
        <v>9.7890638160462885E-3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293.77793537041288</v>
      </c>
      <c r="F119" s="439">
        <f>MIN(F108:F113)</f>
        <v>97.925978456804302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301.29332683875799</v>
      </c>
      <c r="F120" s="441">
        <f>MAX(F108:F113)</f>
        <v>100.43110894625266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Tenofovir DF</v>
      </c>
      <c r="D124" s="613"/>
      <c r="E124" s="289" t="s">
        <v>127</v>
      </c>
      <c r="F124" s="289"/>
      <c r="G124" s="442">
        <f>F115</f>
        <v>99.036789411738482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97.925978456804302</v>
      </c>
      <c r="E125" s="300" t="s">
        <v>130</v>
      </c>
      <c r="F125" s="442">
        <f>MAX(F108:F113)</f>
        <v>100.43110894625266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2" zoomScale="55" zoomScaleNormal="40" zoomScalePageLayoutView="55" workbookViewId="0">
      <selection activeCell="G115" sqref="G115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str">
        <f>Uniformity!C14</f>
        <v>TENOFOVIR DISOPROXIL FUMARATE/  LAMIVUDINE/ EFAVIRENZ  TABLETS 300 MG/300 MG /600 MG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NDQB201612265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135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">
        <v>136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f>'TDF '!B22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132</v>
      </c>
      <c r="C26" s="607"/>
    </row>
    <row r="27" spans="1:14" ht="26.25" customHeight="1" x14ac:dyDescent="0.4">
      <c r="A27" s="300" t="s">
        <v>48</v>
      </c>
      <c r="B27" s="634" t="s">
        <v>145</v>
      </c>
      <c r="C27" s="634"/>
    </row>
    <row r="28" spans="1:14" ht="27" customHeight="1" thickBot="1" x14ac:dyDescent="0.45">
      <c r="A28" s="300" t="s">
        <v>6</v>
      </c>
      <c r="B28" s="301">
        <v>98.9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98.9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30327583</v>
      </c>
      <c r="E38" s="324">
        <f>IF(ISBLANK(D38),"-",$D$48/$D$45*D38)</f>
        <v>30912194.420887824</v>
      </c>
      <c r="F38" s="323">
        <v>43644032</v>
      </c>
      <c r="G38" s="325">
        <f>IF(ISBLANK(F38),"-",$D$48/$F$45*F38)</f>
        <v>30960797.017898474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30801107</v>
      </c>
      <c r="E39" s="329">
        <f>IF(ISBLANK(D39),"-",$D$48/$D$45*D39)</f>
        <v>31394846.333866067</v>
      </c>
      <c r="F39" s="328">
        <v>42797311</v>
      </c>
      <c r="G39" s="330">
        <f>IF(ISBLANK(F39),"-",$D$48/$F$45*F39)</f>
        <v>30360138.558758125</v>
      </c>
      <c r="I39" s="617">
        <f>ABS((F43/D43*D42)-F42)/D42</f>
        <v>5.9655951407942987E-3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29892730</v>
      </c>
      <c r="E40" s="329">
        <f>IF(ISBLANK(D40),"-",$D$48/$D$45*D40)</f>
        <v>30468958.95169444</v>
      </c>
      <c r="F40" s="328">
        <v>43797781</v>
      </c>
      <c r="G40" s="330">
        <f>IF(ISBLANK(F40),"-",$D$48/$F$45*F40)</f>
        <v>31069865.574641921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30340473.333333332</v>
      </c>
      <c r="E42" s="338">
        <f>AVERAGE(E38:E41)</f>
        <v>30925333.235482778</v>
      </c>
      <c r="F42" s="337">
        <f>AVERAGE(F38:F41)</f>
        <v>43413041.333333336</v>
      </c>
      <c r="G42" s="339">
        <f>AVERAGE(G38:G41)</f>
        <v>30796933.717099506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14.88</v>
      </c>
      <c r="E43" s="289"/>
      <c r="F43" s="341">
        <v>21.38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14.88</v>
      </c>
      <c r="E44" s="344"/>
      <c r="F44" s="343">
        <f>F43*$B$34</f>
        <v>21.38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14.716320000000001</v>
      </c>
      <c r="E45" s="346"/>
      <c r="F45" s="345">
        <f>F44*$B$30/100</f>
        <v>21.144819999999999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0.11773056000000001</v>
      </c>
      <c r="E46" s="348"/>
      <c r="F46" s="349">
        <f>F45/$B$45</f>
        <v>0.16915855999999999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30861133.476291139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1.2514148437375267E-2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1912.9490000000001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22" t="s">
        <v>94</v>
      </c>
      <c r="D60" s="625">
        <f>'TDF '!D60:D63</f>
        <v>1974.35</v>
      </c>
      <c r="E60" s="369">
        <v>1</v>
      </c>
      <c r="F60" s="370">
        <v>41019672</v>
      </c>
      <c r="G60" s="371">
        <f>IF(ISBLANK(F60),"-",(F60/$D$50*$D$47*$B$68)*($B$57/$D$60))</f>
        <v>309.07992614491525</v>
      </c>
      <c r="H60" s="372">
        <f t="shared" ref="H60:H71" si="0">IF(ISBLANK(F60),"-",(G60/$B$56)*100)</f>
        <v>103.02664204830508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3"/>
      <c r="D61" s="626"/>
      <c r="E61" s="373">
        <v>2</v>
      </c>
      <c r="F61" s="328">
        <v>41124238</v>
      </c>
      <c r="G61" s="374">
        <f>IF(ISBLANK(F61),"-",(F61/$D$50*$D$47*$B$68)*($B$57/$D$60))</f>
        <v>309.86782253660914</v>
      </c>
      <c r="H61" s="375">
        <f t="shared" si="0"/>
        <v>103.2892741788697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>
        <v>41295072</v>
      </c>
      <c r="G62" s="374">
        <f>IF(ISBLANK(F62),"-",(F62/$D$50*$D$47*$B$68)*($B$57/$D$60))</f>
        <v>311.15504297325816</v>
      </c>
      <c r="H62" s="375">
        <f t="shared" si="0"/>
        <v>103.71834765775272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'TDF '!D64:D67</f>
        <v>1919.84</v>
      </c>
      <c r="E64" s="369">
        <v>1</v>
      </c>
      <c r="F64" s="370"/>
      <c r="G64" s="371" t="str">
        <f>IF(ISBLANK(F64),"-",(F64/$D$50*$D$47*$B$68)*($B$57/$D$64))</f>
        <v>-</v>
      </c>
      <c r="H64" s="372" t="str">
        <f t="shared" si="0"/>
        <v>-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40166782</v>
      </c>
      <c r="G65" s="374">
        <f>IF(ISBLANK(F65),"-",(F65/$D$50*$D$47*$B$68)*($B$57/$D$64))</f>
        <v>311.24670589536015</v>
      </c>
      <c r="H65" s="375">
        <f t="shared" si="0"/>
        <v>103.74890196512006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40010165</v>
      </c>
      <c r="G66" s="374">
        <f>IF(ISBLANK(F66),"-",(F66/$D$50*$D$47*$B$68)*($B$57/$D$64))</f>
        <v>310.03310294013176</v>
      </c>
      <c r="H66" s="375">
        <f t="shared" si="0"/>
        <v>103.34436764671058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22" t="s">
        <v>104</v>
      </c>
      <c r="D68" s="625">
        <f>'TDF '!D68:D71</f>
        <v>1949.42</v>
      </c>
      <c r="E68" s="369">
        <v>1</v>
      </c>
      <c r="F68" s="370">
        <v>39741985</v>
      </c>
      <c r="G68" s="371">
        <f>IF(ISBLANK(F68),"-",(F68/$D$50*$D$47*$B$68)*($B$57/$D$68))</f>
        <v>303.28218355289027</v>
      </c>
      <c r="H68" s="375">
        <f t="shared" si="0"/>
        <v>101.09406118429676</v>
      </c>
    </row>
    <row r="69" spans="1:8" ht="27" customHeight="1" thickBot="1" x14ac:dyDescent="0.45">
      <c r="A69" s="360" t="s">
        <v>105</v>
      </c>
      <c r="B69" s="382">
        <f>(D47*B68)/B56*B57</f>
        <v>1530.3592000000001</v>
      </c>
      <c r="C69" s="623"/>
      <c r="D69" s="626"/>
      <c r="E69" s="373">
        <v>2</v>
      </c>
      <c r="F69" s="328">
        <v>40023687</v>
      </c>
      <c r="G69" s="374">
        <f>IF(ISBLANK(F69),"-",(F69/$D$50*$D$47*$B$68)*($B$57/$D$68))</f>
        <v>305.43193016648326</v>
      </c>
      <c r="H69" s="375">
        <f t="shared" si="0"/>
        <v>101.81064338882774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39428066</v>
      </c>
      <c r="G70" s="374">
        <f>IF(ISBLANK(F70),"-",(F70/$D$50*$D$47*$B$68)*($B$57/$D$68))</f>
        <v>300.88658001726566</v>
      </c>
      <c r="H70" s="375">
        <f t="shared" si="0"/>
        <v>100.29552667242187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307.6229117783642</v>
      </c>
      <c r="H72" s="385">
        <f>AVERAGE(H60:H71)</f>
        <v>102.54097059278806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1.2744950467855383E-2</v>
      </c>
      <c r="H73" s="387">
        <f>STDEV(H60:H71)/H72</f>
        <v>1.2744950467855405E-2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8</v>
      </c>
      <c r="H74" s="389">
        <f>COUNT(H60:H71)</f>
        <v>8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Lamivudine</v>
      </c>
      <c r="D76" s="613"/>
      <c r="E76" s="289" t="s">
        <v>108</v>
      </c>
      <c r="F76" s="289"/>
      <c r="G76" s="390">
        <f>H72</f>
        <v>102.54097059278806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Lamivudine</v>
      </c>
      <c r="C79" s="634"/>
    </row>
    <row r="80" spans="1:8" ht="26.25" customHeight="1" x14ac:dyDescent="0.4">
      <c r="A80" s="300" t="s">
        <v>48</v>
      </c>
      <c r="B80" s="634" t="str">
        <f>B27</f>
        <v>L82 03</v>
      </c>
      <c r="C80" s="634"/>
    </row>
    <row r="81" spans="1:12" ht="27" customHeight="1" thickBot="1" x14ac:dyDescent="0.45">
      <c r="A81" s="300" t="s">
        <v>6</v>
      </c>
      <c r="B81" s="301">
        <f>B28</f>
        <v>98.9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98.9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3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132">
        <v>93287256</v>
      </c>
      <c r="E91" s="324">
        <f>IF(ISBLANK(D91),"-",$D$101/$D$98*D91)</f>
        <v>158475855.37688771</v>
      </c>
      <c r="F91" s="132">
        <v>132667504</v>
      </c>
      <c r="G91" s="325">
        <f>IF(ISBLANK(F91),"-",$D$101/$F$98*F91)</f>
        <v>156855797.30638522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93315234</v>
      </c>
      <c r="E92" s="329">
        <f>IF(ISBLANK(D92),"-",$D$101/$D$98*D92)</f>
        <v>158523384.24279985</v>
      </c>
      <c r="F92" s="137">
        <v>128263879</v>
      </c>
      <c r="G92" s="330">
        <f>IF(ISBLANK(F92),"-",$D$101/$F$98*F92)</f>
        <v>151649291.64684308</v>
      </c>
      <c r="I92" s="617">
        <f>ABS((F96/D96*D95)-F95)/D95</f>
        <v>3.6731702692893393E-2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92947629</v>
      </c>
      <c r="E93" s="329">
        <f>IF(ISBLANK(D93),"-",$D$101/$D$98*D93)</f>
        <v>157898898.97746179</v>
      </c>
      <c r="F93" s="137"/>
      <c r="G93" s="330" t="str">
        <f>IF(ISBLANK(F93),"-",$D$101/$F$98*F93)</f>
        <v>-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93183373</v>
      </c>
      <c r="E95" s="338">
        <f>AVERAGE(E91:E94)</f>
        <v>158299379.53238311</v>
      </c>
      <c r="F95" s="398">
        <f>AVERAGE(F91:F94)</f>
        <v>130465691.5</v>
      </c>
      <c r="G95" s="399">
        <f>AVERAGE(G91:G94)</f>
        <v>154252544.47661415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14.88</v>
      </c>
      <c r="E96" s="289"/>
      <c r="F96" s="341">
        <f>F43</f>
        <v>21.38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14.88</v>
      </c>
      <c r="E97" s="344"/>
      <c r="F97" s="343">
        <f>F96*$B$87</f>
        <v>21.38</v>
      </c>
    </row>
    <row r="98" spans="1:10" ht="19.5" customHeight="1" thickBot="1" x14ac:dyDescent="0.35">
      <c r="A98" s="315" t="s">
        <v>76</v>
      </c>
      <c r="B98" s="344">
        <f>(B97/B96)*(B95/B94)*(B93/B92)*(B91/B90)*B89</f>
        <v>83.333333333333343</v>
      </c>
      <c r="C98" s="402" t="s">
        <v>115</v>
      </c>
      <c r="D98" s="404">
        <f>D97*$B$83/100</f>
        <v>14.716320000000001</v>
      </c>
      <c r="E98" s="346"/>
      <c r="F98" s="345">
        <f>F97*$B$83/100</f>
        <v>21.144819999999999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0.17659584</v>
      </c>
      <c r="E99" s="346"/>
      <c r="F99" s="349">
        <f>F98/$B$98</f>
        <v>0.25373783999999994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25.000000000000004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25.000000000000004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156680645.51007554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1.8456037719967299E-2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5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134206072</v>
      </c>
      <c r="E108" s="418">
        <f t="shared" ref="E108:E113" si="1">IF(ISBLANK(D108),"-",D108/$D$103*$D$100*$B$116)</f>
        <v>256.96742229346324</v>
      </c>
      <c r="F108" s="419">
        <f t="shared" ref="F108:F113" si="2">IF(ISBLANK(D108), "-", (E108/$B$56)*100)</f>
        <v>85.655807431154415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133677937</v>
      </c>
      <c r="E109" s="421">
        <f t="shared" si="1"/>
        <v>255.95619018190158</v>
      </c>
      <c r="F109" s="422">
        <f t="shared" si="2"/>
        <v>85.318730060633868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134442314</v>
      </c>
      <c r="E110" s="421">
        <f t="shared" si="1"/>
        <v>257.41976023073227</v>
      </c>
      <c r="F110" s="422">
        <f t="shared" si="2"/>
        <v>85.806586743577412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134584935</v>
      </c>
      <c r="E111" s="421">
        <f t="shared" si="1"/>
        <v>257.69283990729798</v>
      </c>
      <c r="F111" s="422">
        <f t="shared" si="2"/>
        <v>85.89761330243266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135889107</v>
      </c>
      <c r="E112" s="421">
        <f t="shared" si="1"/>
        <v>260.18996773522002</v>
      </c>
      <c r="F112" s="422">
        <f t="shared" si="2"/>
        <v>86.729989245073341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134666173</v>
      </c>
      <c r="E113" s="424">
        <f t="shared" si="1"/>
        <v>257.84838815590683</v>
      </c>
      <c r="F113" s="425">
        <f t="shared" si="2"/>
        <v>85.949462718635601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257.67909475075368</v>
      </c>
      <c r="F115" s="429">
        <f>AVERAGE(F108:F113)</f>
        <v>85.893031583584559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5.4539930376883072E-3</v>
      </c>
      <c r="F116" s="432">
        <f>STDEV(F108:F113)/F115</f>
        <v>5.4539930376882812E-3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255.95619018190158</v>
      </c>
      <c r="F119" s="439">
        <f>MIN(F108:F113)</f>
        <v>85.318730060633868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260.18996773522002</v>
      </c>
      <c r="F120" s="441">
        <f>MAX(F108:F113)</f>
        <v>86.729989245073341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Lamivudine</v>
      </c>
      <c r="D124" s="613"/>
      <c r="E124" s="289" t="s">
        <v>127</v>
      </c>
      <c r="F124" s="289"/>
      <c r="G124" s="442">
        <f>F115</f>
        <v>85.893031583584559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85.318730060633868</v>
      </c>
      <c r="E125" s="300" t="s">
        <v>130</v>
      </c>
      <c r="F125" s="442">
        <f>MAX(F108:F113)</f>
        <v>86.729989245073341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2016-12-19T10:24:23Z</cp:lastPrinted>
  <dcterms:created xsi:type="dcterms:W3CDTF">2005-07-05T10:19:27Z</dcterms:created>
  <dcterms:modified xsi:type="dcterms:W3CDTF">2016-12-19T10:24:48Z</dcterms:modified>
</cp:coreProperties>
</file>