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Previous analysts\Michael\2017\"/>
    </mc:Choice>
  </mc:AlternateContent>
  <bookViews>
    <workbookView xWindow="0" yWindow="0" windowWidth="20490" windowHeight="7650"/>
  </bookViews>
  <sheets>
    <sheet name="SST" sheetId="1" r:id="rId1"/>
    <sheet name="Uniformity" sheetId="2" r:id="rId2"/>
    <sheet name="Abacavir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F44" i="3" s="1"/>
  <c r="B30" i="3"/>
  <c r="C49" i="2"/>
  <c r="C46" i="2"/>
  <c r="B57" i="3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D44" i="3"/>
  <c r="D45" i="3" s="1"/>
  <c r="F45" i="3"/>
  <c r="G41" i="3" s="1"/>
  <c r="B69" i="3"/>
  <c r="F98" i="3"/>
  <c r="F99" i="3" s="1"/>
  <c r="C50" i="2"/>
  <c r="D97" i="3"/>
  <c r="D98" i="3" s="1"/>
  <c r="D99" i="3" s="1"/>
  <c r="D26" i="2"/>
  <c r="D30" i="2"/>
  <c r="D34" i="2"/>
  <c r="D38" i="2"/>
  <c r="D42" i="2"/>
  <c r="B49" i="2"/>
  <c r="D50" i="2"/>
  <c r="D49" i="3"/>
  <c r="D24" i="2"/>
  <c r="D28" i="2"/>
  <c r="D32" i="2"/>
  <c r="D36" i="2"/>
  <c r="D40" i="2"/>
  <c r="D49" i="2"/>
  <c r="F46" i="3" l="1"/>
  <c r="E38" i="3"/>
  <c r="E40" i="3"/>
  <c r="E41" i="3"/>
  <c r="D46" i="3"/>
  <c r="E39" i="3"/>
  <c r="G39" i="3"/>
  <c r="G38" i="3"/>
  <c r="G40" i="3"/>
  <c r="E92" i="3"/>
  <c r="E94" i="3"/>
  <c r="G93" i="3"/>
  <c r="E91" i="3"/>
  <c r="G91" i="3"/>
  <c r="G94" i="3"/>
  <c r="E93" i="3"/>
  <c r="G92" i="3"/>
  <c r="G95" i="3" l="1"/>
  <c r="E42" i="3"/>
  <c r="D50" i="3"/>
  <c r="G63" i="3" s="1"/>
  <c r="H63" i="3" s="1"/>
  <c r="G42" i="3"/>
  <c r="D52" i="3"/>
  <c r="D103" i="3"/>
  <c r="E95" i="3"/>
  <c r="D105" i="3"/>
  <c r="G60" i="3" l="1"/>
  <c r="H60" i="3" s="1"/>
  <c r="G66" i="3"/>
  <c r="H66" i="3" s="1"/>
  <c r="G71" i="3"/>
  <c r="H71" i="3" s="1"/>
  <c r="D51" i="3"/>
  <c r="G68" i="3"/>
  <c r="H68" i="3" s="1"/>
  <c r="G62" i="3"/>
  <c r="H62" i="3" s="1"/>
  <c r="G67" i="3"/>
  <c r="H67" i="3" s="1"/>
  <c r="G65" i="3"/>
  <c r="H65" i="3" s="1"/>
  <c r="G69" i="3"/>
  <c r="H69" i="3" s="1"/>
  <c r="G70" i="3"/>
  <c r="H70" i="3" s="1"/>
  <c r="G64" i="3"/>
  <c r="H64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<sst xmlns="http://schemas.openxmlformats.org/spreadsheetml/2006/main" count="239" uniqueCount="133">
  <si>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</si>
  <si>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</si>
  <si>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</si>
  <si>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</si>
  <si>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</si>
  <si>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</si>
  <si>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</si>
  <si>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NDQB201612270</t>
  </si>
  <si>
    <t>Weight (mg):</t>
  </si>
  <si>
    <t xml:space="preserve">Abacavir Sulfate </t>
  </si>
  <si>
    <t>Standard Conc (mg/mL):</t>
  </si>
  <si>
    <t>Abacavir Sulfate 300mg</t>
  </si>
  <si>
    <t>2016-12-15 08:08:16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</si>
  <si>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</si>
  <si>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</si>
  <si>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</si>
  <si>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</si>
  <si>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</si>
  <si>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</si>
  <si>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</si>
  <si>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</si>
  <si>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</si>
  <si>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</si>
  <si>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</si>
  <si>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</si>
  <si>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</si>
  <si>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</si>
  <si>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</si>
  <si>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</si>
  <si>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</si>
  <si>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</si>
  <si>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</si>
  <si>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</si>
  <si>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</si>
  <si>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</si>
  <si>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</si>
  <si>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</si>
  <si>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</si>
  <si>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</si>
  <si>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</si>
  <si>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</si>
  <si>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</si>
  <si>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</si>
  <si>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</si>
  <si>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</si>
  <si>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</si>
  <si>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</si>
  <si>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</si>
  <si>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</si>
  <si>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</si>
  <si>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</si>
  <si>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</si>
  <si>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</si>
  <si>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</si>
  <si>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</si>
  <si>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</si>
  <si>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</si>
  <si>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</si>
  <si>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</si>
  <si>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</si>
  <si>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</si>
  <si>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</si>
  <si>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</si>
  <si>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</si>
  <si>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</si>
  <si>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</si>
  <si>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</si>
  <si>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</si>
  <si>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</si>
  <si>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</si>
  <si>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</si>
  <si>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</si>
  <si>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</si>
  <si>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</si>
  <si>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</si>
  <si>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</si>
  <si>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</si>
  <si>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</si>
  <si>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</si>
  <si>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</si>
  <si>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</si>
  <si>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</si>
  <si>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</si>
  <si>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</si>
  <si>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</si>
  <si>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</si>
  <si>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</si>
  <si>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</si>
  <si>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</si>
  <si>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</si>
  <si>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</si>
  <si>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</si>
  <si>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</si>
  <si>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</si>
  <si>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</si>
  <si>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</si>
  <si>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</si>
  <si>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</si>
  <si>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</si>
  <si>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</si>
  <si>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</si>
  <si>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</si>
  <si>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</si>
  <si>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</si>
  <si>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</si>
  <si>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</si>
  <si>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</si>
  <si>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</si>
  <si>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</si>
  <si>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</si>
  <si>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</si>
  <si>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</si>
  <si>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</si>
  <si>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</si>
  <si>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</si>
  <si>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</si>
  <si>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</si>
  <si>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</si>
  <si>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</si>
  <si>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</si>
  <si>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</si>
  <si>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</si>
  <si>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</si>
  <si>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</si>
  <si>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</si>
  <si>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</si>
  <si>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</si>
  <si>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</si>
  <si>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</si>
  <si>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</si>
  <si>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</si>
  <si>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</si>
  <si>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A12-4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</si>
</sst>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5" workbookViewId="0">
      <selection activeCell="F28" sqref="F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24.97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B20/25*10/50</f>
        <v>0.19975999999999999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68915023</v>
      </c>
      <c r="C24" s="18">
        <v>38848.800000000003</v>
      </c>
      <c r="D24" s="19">
        <v>1.2</v>
      </c>
      <c r="E24" s="20">
        <v>21.8</v>
      </c>
    </row>
    <row r="25" spans="1:6" ht="16.5" customHeight="1" x14ac:dyDescent="0.3">
      <c r="A25" s="17">
        <v>2</v>
      </c>
      <c r="B25" s="18">
        <v>69327840</v>
      </c>
      <c r="C25" s="18">
        <v>38499.1</v>
      </c>
      <c r="D25" s="19">
        <v>1.2</v>
      </c>
      <c r="E25" s="19">
        <v>21.8</v>
      </c>
    </row>
    <row r="26" spans="1:6" ht="16.5" customHeight="1" x14ac:dyDescent="0.3">
      <c r="A26" s="17">
        <v>3</v>
      </c>
      <c r="B26" s="18">
        <v>69552398</v>
      </c>
      <c r="C26" s="18">
        <v>38467.599999999999</v>
      </c>
      <c r="D26" s="19">
        <v>1.2</v>
      </c>
      <c r="E26" s="19">
        <v>21.8</v>
      </c>
    </row>
    <row r="27" spans="1:6" ht="16.5" customHeight="1" x14ac:dyDescent="0.3">
      <c r="A27" s="17">
        <v>4</v>
      </c>
      <c r="B27" s="18">
        <v>68555731</v>
      </c>
      <c r="C27" s="18">
        <v>38883.199999999997</v>
      </c>
      <c r="D27" s="19">
        <v>1.1000000000000001</v>
      </c>
      <c r="E27" s="19">
        <v>21.7</v>
      </c>
    </row>
    <row r="28" spans="1:6" ht="16.5" customHeight="1" x14ac:dyDescent="0.3">
      <c r="A28" s="17">
        <v>5</v>
      </c>
      <c r="B28" s="18">
        <v>68862130</v>
      </c>
      <c r="C28" s="18">
        <v>39004</v>
      </c>
      <c r="D28" s="19">
        <v>1.1000000000000001</v>
      </c>
      <c r="E28" s="19">
        <v>21.7</v>
      </c>
    </row>
    <row r="29" spans="1:6" ht="16.5" customHeight="1" x14ac:dyDescent="0.3">
      <c r="A29" s="17">
        <v>6</v>
      </c>
      <c r="B29" s="21">
        <v>68570856</v>
      </c>
      <c r="C29" s="21">
        <v>39006.300000000003</v>
      </c>
      <c r="D29" s="22">
        <v>1.1000000000000001</v>
      </c>
      <c r="E29" s="22">
        <v>21.7</v>
      </c>
    </row>
    <row r="30" spans="1:6" ht="16.5" customHeight="1" x14ac:dyDescent="0.3">
      <c r="A30" s="23" t="s">
        <v>18</v>
      </c>
      <c r="B30" s="24">
        <f>AVERAGE(B24:B29)</f>
        <v>68963996.333333328</v>
      </c>
      <c r="C30" s="25">
        <f>AVERAGE(C24:C29)</f>
        <v>38784.833333333336</v>
      </c>
      <c r="D30" s="26">
        <f>AVERAGE(D24:D29)</f>
        <v>1.1499999999999997</v>
      </c>
      <c r="E30" s="26">
        <f>AVERAGE(E24:E29)</f>
        <v>21.75</v>
      </c>
    </row>
    <row r="31" spans="1:6" ht="16.5" customHeight="1" x14ac:dyDescent="0.3">
      <c r="A31" s="27" t="s">
        <v>19</v>
      </c>
      <c r="B31" s="28">
        <f>(STDEV(B24:B29)/B30)</f>
        <v>5.8456750235549504E-3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815.79</v>
      </c>
      <c r="D24" s="87">
        <f t="shared" ref="D24:D43" si="0">(C24-$C$46)/$C$46</f>
        <v>2.2778203691689865E-3</v>
      </c>
      <c r="E24" s="53"/>
    </row>
    <row r="25" spans="1:5" ht="15.75" customHeight="1" x14ac:dyDescent="0.3">
      <c r="C25" s="95">
        <v>812.99</v>
      </c>
      <c r="D25" s="88">
        <f t="shared" si="0"/>
        <v>-1.1622535432761621E-3</v>
      </c>
      <c r="E25" s="53"/>
    </row>
    <row r="26" spans="1:5" ht="15.75" customHeight="1" x14ac:dyDescent="0.3">
      <c r="C26" s="95">
        <v>804.53</v>
      </c>
      <c r="D26" s="88">
        <f t="shared" si="0"/>
        <v>-1.1556191150164217E-2</v>
      </c>
      <c r="E26" s="53"/>
    </row>
    <row r="27" spans="1:5" ht="15.75" customHeight="1" x14ac:dyDescent="0.3">
      <c r="C27" s="95">
        <v>809.88</v>
      </c>
      <c r="D27" s="88">
        <f t="shared" si="0"/>
        <v>-4.9831927817421025E-3</v>
      </c>
      <c r="E27" s="53"/>
    </row>
    <row r="28" spans="1:5" ht="15.75" customHeight="1" x14ac:dyDescent="0.3">
      <c r="C28" s="95">
        <v>805.05</v>
      </c>
      <c r="D28" s="88">
        <f t="shared" si="0"/>
        <v>-1.091732028071013E-2</v>
      </c>
      <c r="E28" s="53"/>
    </row>
    <row r="29" spans="1:5" ht="15.75" customHeight="1" x14ac:dyDescent="0.3">
      <c r="C29" s="95">
        <v>821.38</v>
      </c>
      <c r="D29" s="88">
        <f t="shared" si="0"/>
        <v>9.1456822158007007E-3</v>
      </c>
      <c r="E29" s="53"/>
    </row>
    <row r="30" spans="1:5" ht="15.75" customHeight="1" x14ac:dyDescent="0.3">
      <c r="C30" s="95">
        <v>820.71</v>
      </c>
      <c r="D30" s="88">
        <f t="shared" si="0"/>
        <v>8.3225216724656485E-3</v>
      </c>
      <c r="E30" s="53"/>
    </row>
    <row r="31" spans="1:5" ht="15.75" customHeight="1" x14ac:dyDescent="0.3">
      <c r="C31" s="95">
        <v>822.7</v>
      </c>
      <c r="D31" s="88">
        <f t="shared" si="0"/>
        <v>1.0767431345953503E-2</v>
      </c>
      <c r="E31" s="53"/>
    </row>
    <row r="32" spans="1:5" ht="15.75" customHeight="1" x14ac:dyDescent="0.3">
      <c r="C32" s="95">
        <v>819.98</v>
      </c>
      <c r="D32" s="88">
        <f t="shared" si="0"/>
        <v>7.425645259578127E-3</v>
      </c>
      <c r="E32" s="53"/>
    </row>
    <row r="33" spans="1:7" ht="15.75" customHeight="1" x14ac:dyDescent="0.3">
      <c r="C33" s="95">
        <v>805.66</v>
      </c>
      <c r="D33" s="88">
        <f t="shared" si="0"/>
        <v>-1.0167875606927407E-2</v>
      </c>
      <c r="E33" s="53"/>
    </row>
    <row r="34" spans="1:7" ht="15.75" customHeight="1" x14ac:dyDescent="0.3">
      <c r="C34" s="95">
        <v>792.94</v>
      </c>
      <c r="D34" s="88">
        <f t="shared" si="0"/>
        <v>-2.5795639952035515E-2</v>
      </c>
      <c r="E34" s="53"/>
    </row>
    <row r="35" spans="1:7" ht="15.75" customHeight="1" x14ac:dyDescent="0.3">
      <c r="C35" s="95">
        <v>824.39</v>
      </c>
      <c r="D35" s="88">
        <f t="shared" si="0"/>
        <v>1.2843761671679286E-2</v>
      </c>
      <c r="E35" s="53"/>
    </row>
    <row r="36" spans="1:7" ht="15.75" customHeight="1" x14ac:dyDescent="0.3">
      <c r="C36" s="95">
        <v>796.07</v>
      </c>
      <c r="D36" s="88">
        <f t="shared" si="0"/>
        <v>-2.1950128757052132E-2</v>
      </c>
      <c r="E36" s="53"/>
    </row>
    <row r="37" spans="1:7" ht="15.75" customHeight="1" x14ac:dyDescent="0.3">
      <c r="C37" s="95">
        <v>804.67</v>
      </c>
      <c r="D37" s="88">
        <f t="shared" si="0"/>
        <v>-1.1384187454541974E-2</v>
      </c>
      <c r="E37" s="53"/>
    </row>
    <row r="38" spans="1:7" ht="15.75" customHeight="1" x14ac:dyDescent="0.3">
      <c r="C38" s="95">
        <v>825.67</v>
      </c>
      <c r="D38" s="88">
        <f t="shared" si="0"/>
        <v>1.4416366888797058E-2</v>
      </c>
      <c r="E38" s="53"/>
    </row>
    <row r="39" spans="1:7" ht="15.75" customHeight="1" x14ac:dyDescent="0.3">
      <c r="C39" s="95">
        <v>804.58</v>
      </c>
      <c r="D39" s="88">
        <f t="shared" si="0"/>
        <v>-1.1494761258870469E-2</v>
      </c>
      <c r="E39" s="53"/>
    </row>
    <row r="40" spans="1:7" ht="15.75" customHeight="1" x14ac:dyDescent="0.3">
      <c r="C40" s="95">
        <v>813.42</v>
      </c>
      <c r="D40" s="88">
        <f t="shared" si="0"/>
        <v>-6.3395647815071008E-4</v>
      </c>
      <c r="E40" s="53"/>
    </row>
    <row r="41" spans="1:7" ht="15.75" customHeight="1" x14ac:dyDescent="0.3">
      <c r="C41" s="95">
        <v>813.17</v>
      </c>
      <c r="D41" s="88">
        <f t="shared" si="0"/>
        <v>-9.4110593461903193E-4</v>
      </c>
      <c r="E41" s="53"/>
    </row>
    <row r="42" spans="1:7" ht="15.75" customHeight="1" x14ac:dyDescent="0.3">
      <c r="C42" s="95">
        <v>827.93</v>
      </c>
      <c r="D42" s="88">
        <f t="shared" si="0"/>
        <v>1.7192997975270678E-2</v>
      </c>
      <c r="E42" s="53"/>
    </row>
    <row r="43" spans="1:7" ht="16.5" customHeight="1" x14ac:dyDescent="0.3">
      <c r="C43" s="96">
        <v>837.21</v>
      </c>
      <c r="D43" s="89">
        <f t="shared" si="0"/>
        <v>2.8594385799374889E-2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16278.720000000001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813.93600000000004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813.93600000000004</v>
      </c>
      <c r="C49" s="93">
        <f>-IF(C46&lt;=80,10%,IF(C46&lt;250,7.5%,5%))</f>
        <v>-0.05</v>
      </c>
      <c r="D49" s="81">
        <f>IF(C46&lt;=80,C46*0.9,IF(C46&lt;250,C46*0.925,C46*0.95))</f>
        <v>773.23919999999998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854.63280000000009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6" zoomScale="44" zoomScaleNormal="40" zoomScalePageLayoutView="44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131</v>
      </c>
      <c r="C26" s="327"/>
    </row>
    <row r="27" spans="1:14" ht="26.25" customHeight="1" x14ac:dyDescent="0.4">
      <c r="A27" s="109" t="s">
        <v>48</v>
      </c>
      <c r="B27" s="333" t="s">
        <v>132</v>
      </c>
      <c r="C27" s="333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/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572.66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670.74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0.8537734442555982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68769931</v>
      </c>
      <c r="E38" s="133">
        <f>IF(ISBLANK(D38),"-",$D$48/$D$45*D38)</f>
        <v>81050244.961889341</v>
      </c>
      <c r="F38" s="132">
        <v>68865243</v>
      </c>
      <c r="G38" s="134">
        <f>IF(ISBLANK(F38),"-",$D$48/$F$45*F38)</f>
        <v>81587340.807987615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68620054</v>
      </c>
      <c r="E39" s="138">
        <f>IF(ISBLANK(D39),"-",$D$48/$D$45*D39)</f>
        <v>80873604.27914454</v>
      </c>
      <c r="F39" s="137">
        <v>69020520</v>
      </c>
      <c r="G39" s="139">
        <f>IF(ISBLANK(F39),"-",$D$48/$F$45*F39)</f>
        <v>81771303.529481858</v>
      </c>
      <c r="I39" s="311">
        <f>ABS((F43/D43*D42)-F42)/D42</f>
        <v>9.1069576696086573E-3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68805801</v>
      </c>
      <c r="E40" s="138">
        <f>IF(ISBLANK(D40),"-",$D$48/$D$45*D40)</f>
        <v>81092520.302936047</v>
      </c>
      <c r="F40" s="137">
        <v>69114333</v>
      </c>
      <c r="G40" s="139">
        <f>IF(ISBLANK(F40),"-",$D$48/$F$45*F40)</f>
        <v>81882447.451579392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68731928.666666672</v>
      </c>
      <c r="E42" s="148">
        <f>AVERAGE(E38:E41)</f>
        <v>81005456.514656648</v>
      </c>
      <c r="F42" s="147">
        <f>AVERAGE(F38:F41)</f>
        <v>69000032</v>
      </c>
      <c r="G42" s="149">
        <f>AVERAGE(G38:G41)</f>
        <v>81747030.596349612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24.97</v>
      </c>
      <c r="E43" s="140"/>
      <c r="F43" s="152">
        <v>24.84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21.318722903062287</v>
      </c>
      <c r="E44" s="155"/>
      <c r="F44" s="154">
        <f>F43*$B$34</f>
        <v>21.207732355309059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21.212129288546976</v>
      </c>
      <c r="E45" s="158"/>
      <c r="F45" s="157">
        <f>F44*$B$30/100</f>
        <v>21.101693693532511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0.16969703430837579</v>
      </c>
      <c r="E46" s="160"/>
      <c r="F46" s="161">
        <f>F45/$B$45</f>
        <v>0.16881354954826008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29.281772779659835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81376243.555503145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5.2028743453079937E-3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Abacavir Sulfate 300mg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Abacavir Sulfate </v>
      </c>
      <c r="H56" s="179"/>
    </row>
    <row r="57" spans="1:12" ht="18.75" x14ac:dyDescent="0.3">
      <c r="A57" s="176" t="s">
        <v>88</v>
      </c>
      <c r="B57" s="247">
        <f>Uniformity!C46</f>
        <v>813.93600000000004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4" t="s">
        <v>94</v>
      </c>
      <c r="D60" s="317">
        <v>817.94</v>
      </c>
      <c r="E60" s="182">
        <v>1</v>
      </c>
      <c r="F60" s="183">
        <v>95263892</v>
      </c>
      <c r="G60" s="248">
        <f>IF(ISBLANK(F60),"-",(F60/$D$50*$D$47*$B$68)*($B$57/$D$60))</f>
        <v>291.2322740383641</v>
      </c>
      <c r="H60" s="266">
        <f t="shared" ref="H60:H71" si="0">IF(ISBLANK(F60),"-",(G60/$B$56)*100)</f>
        <v>97.077424679454694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5"/>
      <c r="D61" s="318"/>
      <c r="E61" s="184">
        <v>2</v>
      </c>
      <c r="F61" s="137">
        <v>95768918</v>
      </c>
      <c r="G61" s="249">
        <f>IF(ISBLANK(F61),"-",(F61/$D$50*$D$47*$B$68)*($B$57/$D$60))</f>
        <v>292.77619448230837</v>
      </c>
      <c r="H61" s="267">
        <f t="shared" si="0"/>
        <v>97.592064827436118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95341680</v>
      </c>
      <c r="G62" s="249">
        <f>IF(ISBLANK(F62),"-",(F62/$D$50*$D$47*$B$68)*($B$57/$D$60))</f>
        <v>291.47008057405435</v>
      </c>
      <c r="H62" s="267">
        <f t="shared" si="0"/>
        <v>97.156693524684783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818.87</v>
      </c>
      <c r="E64" s="182">
        <v>1</v>
      </c>
      <c r="F64" s="183">
        <v>96620818</v>
      </c>
      <c r="G64" s="248">
        <f>IF(ISBLANK(F64),"-",(F64/$D$50*$D$47*$B$68)*($B$57/$D$64))</f>
        <v>295.04508012447582</v>
      </c>
      <c r="H64" s="266">
        <f t="shared" si="0"/>
        <v>98.348360041491929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96274512</v>
      </c>
      <c r="G65" s="249">
        <f>IF(ISBLANK(F65),"-",(F65/$D$50*$D$47*$B$68)*($B$57/$D$64))</f>
        <v>293.98758668121405</v>
      </c>
      <c r="H65" s="267">
        <f t="shared" si="0"/>
        <v>97.995862227071356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96983243</v>
      </c>
      <c r="G66" s="249">
        <f>IF(ISBLANK(F66),"-",(F66/$D$50*$D$47*$B$68)*($B$57/$D$64))</f>
        <v>296.151795171787</v>
      </c>
      <c r="H66" s="267">
        <f t="shared" si="0"/>
        <v>98.717265057262338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1250</v>
      </c>
      <c r="C68" s="314" t="s">
        <v>104</v>
      </c>
      <c r="D68" s="317">
        <v>817.89</v>
      </c>
      <c r="E68" s="182">
        <v>1</v>
      </c>
      <c r="F68" s="183">
        <v>98737373</v>
      </c>
      <c r="G68" s="248">
        <f>IF(ISBLANK(F68),"-",(F68/$D$50*$D$47*$B$68)*($B$57/$D$68))</f>
        <v>301.86954338898931</v>
      </c>
      <c r="H68" s="267">
        <f t="shared" si="0"/>
        <v>100.62318112966311</v>
      </c>
    </row>
    <row r="69" spans="1:8" ht="27" customHeight="1" x14ac:dyDescent="0.4">
      <c r="A69" s="172" t="s">
        <v>105</v>
      </c>
      <c r="B69" s="189">
        <f>(D47*B68)/B56*B57</f>
        <v>678.28000000000009</v>
      </c>
      <c r="C69" s="315"/>
      <c r="D69" s="318"/>
      <c r="E69" s="184">
        <v>2</v>
      </c>
      <c r="F69" s="137">
        <v>98954450</v>
      </c>
      <c r="G69" s="249">
        <f>IF(ISBLANK(F69),"-",(F69/$D$50*$D$47*$B$68)*($B$57/$D$68))</f>
        <v>302.53321240183874</v>
      </c>
      <c r="H69" s="267">
        <f t="shared" si="0"/>
        <v>100.84440413394624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98830953</v>
      </c>
      <c r="G70" s="249">
        <f>IF(ISBLANK(F70),"-",(F70/$D$50*$D$47*$B$68)*($B$57/$D$68))</f>
        <v>302.15564530776675</v>
      </c>
      <c r="H70" s="267">
        <f t="shared" si="0"/>
        <v>100.71854843592224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296.3579346856443</v>
      </c>
      <c r="H72" s="269">
        <f>AVERAGE(H60:H71)</f>
        <v>98.785978228548089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1.5668807485955821E-2</v>
      </c>
      <c r="H73" s="253">
        <f>STDEV(H60:H71)/H72</f>
        <v>1.5668807485955828E-2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Abacavir</v>
      </c>
      <c r="D76" s="301"/>
      <c r="E76" s="198" t="s">
        <v>108</v>
      </c>
      <c r="F76" s="198"/>
      <c r="G76" s="199">
        <f>H72</f>
        <v>98.785978228548089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Abacavir</v>
      </c>
      <c r="C79" s="335"/>
    </row>
    <row r="80" spans="1:8" ht="26.25" customHeight="1" x14ac:dyDescent="0.4">
      <c r="A80" s="109" t="s">
        <v>48</v>
      </c>
      <c r="B80" s="335" t="str">
        <f>B27</f>
        <v>A12-4</v>
      </c>
      <c r="C80" s="335"/>
    </row>
    <row r="81" spans="1:12" ht="27" customHeight="1" x14ac:dyDescent="0.4">
      <c r="A81" s="109" t="s">
        <v>6</v>
      </c>
      <c r="B81" s="201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0.497</v>
      </c>
      <c r="E91" s="133">
        <f>IF(ISBLANK(D91),"-",$D$101/$D$98*D91)</f>
        <v>0.71329040702566804</v>
      </c>
      <c r="F91" s="132">
        <v>0.50900000000000001</v>
      </c>
      <c r="G91" s="134">
        <f>IF(ISBLANK(F91),"-",$D$101/$F$98*F91)</f>
        <v>0.73433584476961133</v>
      </c>
      <c r="I91" s="135"/>
    </row>
    <row r="92" spans="1:12" ht="26.25" customHeight="1" x14ac:dyDescent="0.4">
      <c r="A92" s="124" t="s">
        <v>67</v>
      </c>
      <c r="B92" s="125">
        <v>5</v>
      </c>
      <c r="C92" s="191">
        <v>2</v>
      </c>
      <c r="D92" s="137">
        <v>0.5</v>
      </c>
      <c r="E92" s="138">
        <f>IF(ISBLANK(D92),"-",$D$101/$D$98*D92)</f>
        <v>0.71759598292320725</v>
      </c>
      <c r="F92" s="137">
        <v>0.51200000000000001</v>
      </c>
      <c r="G92" s="139">
        <f>IF(ISBLANK(F92),"-",$D$101/$F$98*F92)</f>
        <v>0.73866395387434391</v>
      </c>
      <c r="I92" s="311">
        <f>ABS((F96/D96*D95)-F95)/D95</f>
        <v>2.8555146763173739E-2</v>
      </c>
    </row>
    <row r="93" spans="1:12" ht="26.25" customHeight="1" x14ac:dyDescent="0.4">
      <c r="A93" s="124" t="s">
        <v>68</v>
      </c>
      <c r="B93" s="125">
        <v>50</v>
      </c>
      <c r="C93" s="191">
        <v>3</v>
      </c>
      <c r="D93" s="137">
        <v>0.502</v>
      </c>
      <c r="E93" s="138">
        <f>IF(ISBLANK(D93),"-",$D$101/$D$98*D93)</f>
        <v>0.72046636685490006</v>
      </c>
      <c r="F93" s="137">
        <v>0.51300000000000001</v>
      </c>
      <c r="G93" s="139">
        <f>IF(ISBLANK(F93),"-",$D$101/$F$98*F93)</f>
        <v>0.7401066569092547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0.4996666666666667</v>
      </c>
      <c r="E95" s="148">
        <f>AVERAGE(E91:E94)</f>
        <v>0.71711758560125849</v>
      </c>
      <c r="F95" s="211">
        <f>AVERAGE(F91:F94)</f>
        <v>0.51133333333333331</v>
      </c>
      <c r="G95" s="212">
        <f>AVERAGE(G91:G94)</f>
        <v>0.73770215185107002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24.97</v>
      </c>
      <c r="E96" s="140"/>
      <c r="F96" s="152">
        <v>24.84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23.34240876354173</v>
      </c>
      <c r="E97" s="155"/>
      <c r="F97" s="154">
        <f>F96*$B$87</f>
        <v>23.220882406342675</v>
      </c>
    </row>
    <row r="98" spans="1:10" ht="19.5" customHeight="1" x14ac:dyDescent="0.3">
      <c r="A98" s="124" t="s">
        <v>76</v>
      </c>
      <c r="B98" s="217">
        <f>(B97/B96)*(B95/B94)*(B93/B92)*(B91/B90)*B89</f>
        <v>1250</v>
      </c>
      <c r="C98" s="215" t="s">
        <v>115</v>
      </c>
      <c r="D98" s="218">
        <f>D97*$B$83/100</f>
        <v>23.22569671972402</v>
      </c>
      <c r="E98" s="158"/>
      <c r="F98" s="157">
        <f>F97*$B$83/100</f>
        <v>23.104777994310961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1.8580557375779214E-2</v>
      </c>
      <c r="E99" s="158"/>
      <c r="F99" s="161">
        <f>F98/$B$98</f>
        <v>1.8483822395448768E-2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2.6666666666666668E-2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33.333333333333336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39.042363706213116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0.7274098687261642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1.6028743705111533E-2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4</v>
      </c>
      <c r="C108" s="275">
        <v>1</v>
      </c>
      <c r="D108" s="276">
        <v>0.70099999999999996</v>
      </c>
      <c r="E108" s="250">
        <f t="shared" ref="E108:E113" si="1">IF(ISBLANK(D108),"-",D108/$D$103*$D$100*$B$116)</f>
        <v>289.1079830526304</v>
      </c>
      <c r="F108" s="277">
        <f t="shared" ref="F108:F113" si="2">IF(ISBLANK(D108), "-", (E108/$B$56)*100)</f>
        <v>96.369327684210134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0.69899999999999995</v>
      </c>
      <c r="E109" s="251">
        <f t="shared" si="1"/>
        <v>288.28313859313647</v>
      </c>
      <c r="F109" s="278">
        <f t="shared" si="2"/>
        <v>96.09437953104549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0.69399999999999995</v>
      </c>
      <c r="E110" s="251">
        <f t="shared" si="1"/>
        <v>286.22102744440161</v>
      </c>
      <c r="F110" s="278">
        <f t="shared" si="2"/>
        <v>95.407009148133866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0.69099999999999995</v>
      </c>
      <c r="E111" s="251">
        <f t="shared" si="1"/>
        <v>284.98376075516069</v>
      </c>
      <c r="F111" s="278">
        <f t="shared" si="2"/>
        <v>94.994586918386887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0.69299999999999995</v>
      </c>
      <c r="E112" s="251">
        <f t="shared" si="1"/>
        <v>285.80860521465462</v>
      </c>
      <c r="F112" s="278">
        <f t="shared" si="2"/>
        <v>95.26953507155153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0.69899999999999995</v>
      </c>
      <c r="E113" s="252">
        <f t="shared" si="1"/>
        <v>288.28313859313647</v>
      </c>
      <c r="F113" s="279">
        <f t="shared" si="2"/>
        <v>96.09437953104549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287.11460894218669</v>
      </c>
      <c r="F115" s="281">
        <f>AVERAGE(F108:F113)</f>
        <v>95.704869647395569</v>
      </c>
    </row>
    <row r="116" spans="1:10" ht="27" customHeight="1" x14ac:dyDescent="0.4">
      <c r="A116" s="124" t="s">
        <v>103</v>
      </c>
      <c r="B116" s="156">
        <f>(B115/B114)*(B113/B112)*(B111/B110)*(B109/B108)*B107</f>
        <v>11250</v>
      </c>
      <c r="C116" s="234"/>
      <c r="D116" s="258" t="s">
        <v>84</v>
      </c>
      <c r="E116" s="256">
        <f>STDEV(E108:E113)/E115</f>
        <v>5.7755987942612894E-3</v>
      </c>
      <c r="F116" s="235">
        <f>STDEV(F108:F113)/F115</f>
        <v>5.7755987942613354E-3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284.98376075516069</v>
      </c>
      <c r="F119" s="282">
        <f>MIN(F108:F113)</f>
        <v>94.994586918386887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289.1079830526304</v>
      </c>
      <c r="F120" s="283">
        <f>MAX(F108:F113)</f>
        <v>96.369327684210134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Abacavir</v>
      </c>
      <c r="D124" s="301"/>
      <c r="E124" s="198" t="s">
        <v>127</v>
      </c>
      <c r="F124" s="198"/>
      <c r="G124" s="284">
        <f>F115</f>
        <v>95.704869647395569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94.994586918386887</v>
      </c>
      <c r="E125" s="209" t="s">
        <v>130</v>
      </c>
      <c r="F125" s="284">
        <f>MAX(F108:F113)</f>
        <v>96.369327684210134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Abacavir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2016-12-16T11:04:01Z</cp:lastPrinted>
  <dcterms:created xsi:type="dcterms:W3CDTF">2005-07-05T10:19:27Z</dcterms:created>
  <dcterms:modified xsi:type="dcterms:W3CDTF">2017-06-29T07:56:57Z</dcterms:modified>
</cp:coreProperties>
</file>