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March 2017\"/>
    </mc:Choice>
  </mc:AlternateContent>
  <bookViews>
    <workbookView xWindow="0" yWindow="0" windowWidth="20490" windowHeight="7650"/>
  </bookViews>
  <sheets>
    <sheet name="sst abacavir" sheetId="1" r:id="rId1"/>
    <sheet name="Uniformity" sheetId="2" r:id="rId2"/>
    <sheet name="Abacavir" sheetId="3" r:id="rId3"/>
    <sheet name="Lamivudine" sheetId="4" r:id="rId4"/>
    <sheet name="sst lamivudine" sheetId="5" r:id="rId5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E30" i="1"/>
  <c r="B21" i="1"/>
  <c r="C124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124" i="3"/>
  <c r="B116" i="3"/>
  <c r="D100" i="3" s="1"/>
  <c r="B98" i="3"/>
  <c r="F95" i="3"/>
  <c r="D95" i="3"/>
  <c r="I92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B69" i="4" s="1"/>
  <c r="C45" i="2"/>
  <c r="D40" i="2"/>
  <c r="D32" i="2"/>
  <c r="D24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D28" i="2" l="1"/>
  <c r="D36" i="2"/>
  <c r="D49" i="2"/>
  <c r="B57" i="3"/>
  <c r="B69" i="3" s="1"/>
  <c r="I92" i="4"/>
  <c r="D101" i="4"/>
  <c r="D102" i="4" s="1"/>
  <c r="I39" i="4"/>
  <c r="D45" i="4"/>
  <c r="D46" i="4" s="1"/>
  <c r="F45" i="4"/>
  <c r="F46" i="4" s="1"/>
  <c r="F98" i="4"/>
  <c r="F99" i="4" s="1"/>
  <c r="D101" i="3"/>
  <c r="G91" i="3" s="1"/>
  <c r="D97" i="3"/>
  <c r="D98" i="3" s="1"/>
  <c r="I39" i="3"/>
  <c r="D45" i="3"/>
  <c r="D46" i="3" s="1"/>
  <c r="F98" i="3"/>
  <c r="F99" i="3" s="1"/>
  <c r="D49" i="3"/>
  <c r="G40" i="4"/>
  <c r="D49" i="4"/>
  <c r="D25" i="2"/>
  <c r="D33" i="2"/>
  <c r="D37" i="2"/>
  <c r="C50" i="2"/>
  <c r="D27" i="2"/>
  <c r="D31" i="2"/>
  <c r="D35" i="2"/>
  <c r="D39" i="2"/>
  <c r="D43" i="2"/>
  <c r="C49" i="2"/>
  <c r="F44" i="3"/>
  <c r="F45" i="3" s="1"/>
  <c r="F46" i="3" s="1"/>
  <c r="D97" i="4"/>
  <c r="D98" i="4" s="1"/>
  <c r="D99" i="4" s="1"/>
  <c r="D29" i="2"/>
  <c r="D41" i="2"/>
  <c r="D26" i="2"/>
  <c r="D30" i="2"/>
  <c r="D34" i="2"/>
  <c r="D38" i="2"/>
  <c r="D42" i="2"/>
  <c r="B49" i="2"/>
  <c r="D50" i="2"/>
  <c r="G38" i="4" l="1"/>
  <c r="E40" i="4"/>
  <c r="D102" i="3"/>
  <c r="G93" i="4"/>
  <c r="E91" i="4"/>
  <c r="G41" i="4"/>
  <c r="E39" i="4"/>
  <c r="G94" i="4"/>
  <c r="G39" i="4"/>
  <c r="G91" i="4"/>
  <c r="G92" i="4"/>
  <c r="E38" i="4"/>
  <c r="E41" i="4"/>
  <c r="E92" i="4"/>
  <c r="E94" i="4"/>
  <c r="D99" i="3"/>
  <c r="E92" i="3"/>
  <c r="E94" i="3"/>
  <c r="E93" i="3"/>
  <c r="E91" i="3"/>
  <c r="G92" i="3"/>
  <c r="E41" i="3"/>
  <c r="E40" i="3"/>
  <c r="E38" i="3"/>
  <c r="E39" i="3"/>
  <c r="G94" i="3"/>
  <c r="G93" i="3"/>
  <c r="G41" i="3"/>
  <c r="G40" i="3"/>
  <c r="G38" i="3"/>
  <c r="G39" i="3"/>
  <c r="E95" i="3"/>
  <c r="E93" i="4"/>
  <c r="D103" i="4" l="1"/>
  <c r="D104" i="4" s="1"/>
  <c r="E95" i="4"/>
  <c r="D50" i="4"/>
  <c r="G67" i="4" s="1"/>
  <c r="H67" i="4" s="1"/>
  <c r="D52" i="4"/>
  <c r="G42" i="4"/>
  <c r="E42" i="4"/>
  <c r="D105" i="4"/>
  <c r="G95" i="4"/>
  <c r="D103" i="3"/>
  <c r="E112" i="3" s="1"/>
  <c r="F112" i="3" s="1"/>
  <c r="G95" i="3"/>
  <c r="E42" i="3"/>
  <c r="D50" i="3"/>
  <c r="G71" i="3" s="1"/>
  <c r="H71" i="3" s="1"/>
  <c r="D105" i="3"/>
  <c r="G42" i="3"/>
  <c r="D51" i="4"/>
  <c r="G68" i="3"/>
  <c r="H68" i="3" s="1"/>
  <c r="E113" i="4"/>
  <c r="F113" i="4" s="1"/>
  <c r="E111" i="4"/>
  <c r="F111" i="4" s="1"/>
  <c r="E109" i="4"/>
  <c r="F109" i="4" s="1"/>
  <c r="D52" i="3"/>
  <c r="E108" i="4" l="1"/>
  <c r="E110" i="4"/>
  <c r="F110" i="4" s="1"/>
  <c r="E112" i="4"/>
  <c r="F112" i="4" s="1"/>
  <c r="G66" i="4"/>
  <c r="H66" i="4" s="1"/>
  <c r="G69" i="4"/>
  <c r="H69" i="4" s="1"/>
  <c r="G61" i="4"/>
  <c r="H61" i="4" s="1"/>
  <c r="G60" i="4"/>
  <c r="H60" i="4" s="1"/>
  <c r="G63" i="4"/>
  <c r="H63" i="4" s="1"/>
  <c r="G70" i="4"/>
  <c r="H70" i="4" s="1"/>
  <c r="G65" i="4"/>
  <c r="H65" i="4" s="1"/>
  <c r="G62" i="4"/>
  <c r="H62" i="4" s="1"/>
  <c r="G71" i="4"/>
  <c r="H71" i="4" s="1"/>
  <c r="G64" i="4"/>
  <c r="H64" i="4" s="1"/>
  <c r="G68" i="4"/>
  <c r="H68" i="4" s="1"/>
  <c r="E109" i="3"/>
  <c r="F109" i="3" s="1"/>
  <c r="E113" i="3"/>
  <c r="F113" i="3" s="1"/>
  <c r="E108" i="3"/>
  <c r="E115" i="3" s="1"/>
  <c r="E116" i="3" s="1"/>
  <c r="D104" i="3"/>
  <c r="E110" i="3"/>
  <c r="F110" i="3" s="1"/>
  <c r="E111" i="3"/>
  <c r="F111" i="3" s="1"/>
  <c r="G63" i="3"/>
  <c r="H63" i="3" s="1"/>
  <c r="D51" i="3"/>
  <c r="G62" i="3"/>
  <c r="H62" i="3" s="1"/>
  <c r="G64" i="3"/>
  <c r="H64" i="3" s="1"/>
  <c r="G66" i="3"/>
  <c r="H66" i="3" s="1"/>
  <c r="G65" i="3"/>
  <c r="H65" i="3" s="1"/>
  <c r="G69" i="3"/>
  <c r="H69" i="3" s="1"/>
  <c r="G67" i="3"/>
  <c r="H67" i="3" s="1"/>
  <c r="G60" i="3"/>
  <c r="H60" i="3" s="1"/>
  <c r="G61" i="3"/>
  <c r="H61" i="3" s="1"/>
  <c r="G70" i="3"/>
  <c r="H70" i="3" s="1"/>
  <c r="E120" i="4" l="1"/>
  <c r="E119" i="4"/>
  <c r="E115" i="4"/>
  <c r="E116" i="4" s="1"/>
  <c r="F108" i="4"/>
  <c r="F120" i="4" s="1"/>
  <c r="E117" i="4"/>
  <c r="G72" i="4"/>
  <c r="G73" i="4" s="1"/>
  <c r="G74" i="4"/>
  <c r="F108" i="3"/>
  <c r="F119" i="3" s="1"/>
  <c r="E120" i="3"/>
  <c r="E119" i="3"/>
  <c r="E117" i="3"/>
  <c r="G72" i="3"/>
  <c r="G73" i="3" s="1"/>
  <c r="G74" i="3"/>
  <c r="H74" i="4"/>
  <c r="H72" i="4"/>
  <c r="H74" i="3"/>
  <c r="H72" i="3"/>
  <c r="F115" i="4" l="1"/>
  <c r="F116" i="4" s="1"/>
  <c r="D125" i="4"/>
  <c r="F117" i="4"/>
  <c r="F125" i="4"/>
  <c r="F119" i="4"/>
  <c r="F125" i="3"/>
  <c r="F117" i="3"/>
  <c r="F120" i="3"/>
  <c r="F115" i="3"/>
  <c r="G124" i="3" s="1"/>
  <c r="D125" i="3"/>
  <c r="G124" i="4"/>
  <c r="G76" i="3"/>
  <c r="H73" i="3"/>
  <c r="F116" i="3"/>
  <c r="G76" i="4"/>
  <c r="H73" i="4"/>
</calcChain>
</file>

<file path=xl/sharedStrings.xml><?xml version="1.0" encoding="utf-8"?>
<sst xmlns="http://schemas.openxmlformats.org/spreadsheetml/2006/main" count="452" uniqueCount="136">
  <si>
    <t>HPLC System Suitability Report</t>
  </si>
  <si>
    <t>Analysis Data</t>
  </si>
  <si>
    <t>Assay</t>
  </si>
  <si>
    <t>Sample(s)</t>
  </si>
  <si>
    <t>Reference Substance:</t>
  </si>
  <si>
    <t>ABACAVIR SULFATE 60 MG &amp; LAMIVUDINE 30 MG TABLETS</t>
  </si>
  <si>
    <t>% age Purity:</t>
  </si>
  <si>
    <t>NDQB201612273</t>
  </si>
  <si>
    <t>Weight (mg):</t>
  </si>
  <si>
    <t>ABACAVIR SULFATE &amp; LAMIVUDINE TABLETS</t>
  </si>
  <si>
    <t>Standard Conc (mg/mL):</t>
  </si>
  <si>
    <t>ABACAVIR SULFATE 60mg &amp; LAMIVUDINE 30mg TABLETS</t>
  </si>
  <si>
    <t>2016-12-15 08:43:51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</si>
  <si>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</si>
  <si>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</si>
  <si>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</si>
  <si>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</si>
  <si>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</si>
  <si>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</si>
  <si>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</si>
  <si>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</si>
  <si>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</si>
  <si>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</si>
  <si>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</si>
  <si>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</si>
  <si>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</si>
  <si>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</si>
  <si>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</si>
  <si>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</si>
  <si>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</si>
  <si>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</si>
  <si>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</si>
  <si>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</si>
  <si>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</si>
  <si>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</si>
  <si>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</si>
  <si>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</si>
  <si>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</si>
  <si>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</si>
  <si>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</si>
  <si>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</si>
  <si>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</si>
  <si>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</si>
  <si>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</si>
  <si>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</si>
  <si>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</si>
  <si>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</si>
  <si>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</si>
  <si>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</si>
  <si>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</si>
  <si>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</si>
  <si>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</si>
  <si>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</si>
  <si>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</si>
  <si>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</si>
  <si>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</si>
  <si>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</si>
  <si>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</si>
  <si>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</si>
  <si>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</si>
  <si>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</si>
  <si>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</si>
  <si>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</si>
  <si>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</si>
  <si>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</si>
  <si>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</si>
  <si>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</si>
  <si>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</si>
  <si>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</si>
  <si>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</si>
  <si>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</si>
  <si>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</si>
  <si>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</si>
  <si>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</si>
  <si>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</si>
  <si>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</si>
  <si>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</si>
  <si>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</si>
  <si>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</si>
  <si>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</si>
  <si>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</si>
  <si>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</si>
  <si>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</si>
  <si>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</si>
  <si>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</si>
  <si>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</si>
  <si>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</si>
  <si>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</si>
  <si>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</si>
  <si>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</si>
  <si>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</si>
  <si>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</si>
  <si>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</si>
  <si>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</si>
  <si>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</si>
  <si>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</si>
  <si>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</si>
  <si>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</si>
  <si>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</si>
  <si>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</si>
  <si>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</si>
  <si>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</si>
  <si>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</si>
  <si>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</si>
  <si>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</si>
  <si>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</si>
  <si>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</si>
  <si>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</si>
  <si>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</si>
  <si>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</si>
  <si>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</si>
  <si>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</si>
  <si>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</si>
  <si>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</si>
  <si>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</si>
  <si>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</si>
  <si>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</si>
  <si>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</si>
  <si>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</si>
  <si>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</si>
  <si>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</si>
  <si>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</si>
  <si>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</si>
  <si>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</si>
  <si>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</si>
  <si>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</si>
  <si>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</si>
  <si>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</si>
  <si>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</si>
  <si>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</si>
  <si>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</si>
  <si>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</si>
  <si>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Lamivudine</t>
  </si>
  <si>
    <t>Abacavir Sulfate</t>
  </si>
  <si>
    <t>A12-4</t>
  </si>
  <si>
    <t>L42-1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</si>
</sst>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8" workbookViewId="0">
      <selection activeCell="B25" sqref="B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30.11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B20/50*10/100</f>
        <v>6.0219999999999996E-2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12459692</v>
      </c>
      <c r="C24" s="18">
        <v>5125.5</v>
      </c>
      <c r="D24" s="19">
        <v>1.1000000000000001</v>
      </c>
      <c r="E24" s="20">
        <v>4</v>
      </c>
    </row>
    <row r="25" spans="1:6" ht="16.5" customHeight="1" x14ac:dyDescent="0.3">
      <c r="A25" s="17">
        <v>2</v>
      </c>
      <c r="B25" s="18">
        <v>12527199</v>
      </c>
      <c r="C25" s="18">
        <v>5130.5</v>
      </c>
      <c r="D25" s="19">
        <v>1.1000000000000001</v>
      </c>
      <c r="E25" s="19">
        <v>4</v>
      </c>
    </row>
    <row r="26" spans="1:6" ht="16.5" customHeight="1" x14ac:dyDescent="0.3">
      <c r="A26" s="17">
        <v>3</v>
      </c>
      <c r="B26" s="18">
        <v>12539810</v>
      </c>
      <c r="C26" s="18">
        <v>5160.1000000000004</v>
      </c>
      <c r="D26" s="19">
        <v>1.1000000000000001</v>
      </c>
      <c r="E26" s="19">
        <v>4</v>
      </c>
    </row>
    <row r="27" spans="1:6" ht="16.5" customHeight="1" x14ac:dyDescent="0.3">
      <c r="A27" s="17">
        <v>4</v>
      </c>
      <c r="B27" s="18">
        <v>12549564</v>
      </c>
      <c r="C27" s="18">
        <v>5165.3999999999996</v>
      </c>
      <c r="D27" s="19">
        <v>1.1000000000000001</v>
      </c>
      <c r="E27" s="19">
        <v>4</v>
      </c>
    </row>
    <row r="28" spans="1:6" ht="16.5" customHeight="1" x14ac:dyDescent="0.3">
      <c r="A28" s="17">
        <v>5</v>
      </c>
      <c r="B28" s="18">
        <v>12514436</v>
      </c>
      <c r="C28" s="18">
        <v>5164.6000000000004</v>
      </c>
      <c r="D28" s="19">
        <v>1.1000000000000001</v>
      </c>
      <c r="E28" s="19">
        <v>4</v>
      </c>
    </row>
    <row r="29" spans="1:6" ht="16.5" customHeight="1" x14ac:dyDescent="0.3">
      <c r="A29" s="17">
        <v>6</v>
      </c>
      <c r="B29" s="21">
        <v>12507753</v>
      </c>
      <c r="C29" s="21">
        <v>5170.6000000000004</v>
      </c>
      <c r="D29" s="19">
        <v>1.1000000000000001</v>
      </c>
      <c r="E29" s="22">
        <v>4</v>
      </c>
    </row>
    <row r="30" spans="1:6" ht="16.5" customHeight="1" x14ac:dyDescent="0.3">
      <c r="A30" s="23" t="s">
        <v>18</v>
      </c>
      <c r="B30" s="24">
        <f>AVERAGE(B24:B29)</f>
        <v>12516409</v>
      </c>
      <c r="C30" s="25">
        <f>AVERAGE(C24:C29)</f>
        <v>5152.7833333333328</v>
      </c>
      <c r="D30" s="26">
        <f>AVERAGE(D24:D29)</f>
        <v>1.0999999999999999</v>
      </c>
      <c r="E30" s="26">
        <f>AVERAGE(E24:E29)</f>
        <v>4</v>
      </c>
    </row>
    <row r="31" spans="1:6" ht="16.5" customHeight="1" x14ac:dyDescent="0.3">
      <c r="A31" s="27" t="s">
        <v>19</v>
      </c>
      <c r="B31" s="28">
        <f>(STDEV(B24:B29)/B30)</f>
        <v>2.5413486286849042E-3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91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90"/>
    </row>
    <row r="14" spans="1:7" ht="16.5" customHeight="1" x14ac:dyDescent="0.3">
      <c r="A14" s="481" t="s">
        <v>33</v>
      </c>
      <c r="B14" s="481"/>
      <c r="C14" s="60" t="s">
        <v>5</v>
      </c>
    </row>
    <row r="15" spans="1:7" ht="16.5" customHeight="1" x14ac:dyDescent="0.3">
      <c r="A15" s="481" t="s">
        <v>34</v>
      </c>
      <c r="B15" s="481"/>
      <c r="C15" s="60" t="s">
        <v>7</v>
      </c>
    </row>
    <row r="16" spans="1:7" ht="16.5" customHeight="1" x14ac:dyDescent="0.3">
      <c r="A16" s="481" t="s">
        <v>35</v>
      </c>
      <c r="B16" s="481"/>
      <c r="C16" s="60" t="s">
        <v>9</v>
      </c>
    </row>
    <row r="17" spans="1:5" ht="16.5" customHeight="1" x14ac:dyDescent="0.3">
      <c r="A17" s="481" t="s">
        <v>36</v>
      </c>
      <c r="B17" s="481"/>
      <c r="C17" s="60" t="s">
        <v>11</v>
      </c>
    </row>
    <row r="18" spans="1:5" ht="16.5" customHeight="1" x14ac:dyDescent="0.3">
      <c r="A18" s="481" t="s">
        <v>37</v>
      </c>
      <c r="B18" s="481"/>
      <c r="C18" s="97" t="s">
        <v>12</v>
      </c>
    </row>
    <row r="19" spans="1:5" ht="16.5" customHeight="1" x14ac:dyDescent="0.3">
      <c r="A19" s="481" t="s">
        <v>38</v>
      </c>
      <c r="B19" s="48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6" t="s">
        <v>1</v>
      </c>
      <c r="B21" s="476"/>
      <c r="C21" s="59" t="s">
        <v>39</v>
      </c>
      <c r="D21" s="66"/>
    </row>
    <row r="22" spans="1:5" ht="15.75" customHeight="1" x14ac:dyDescent="0.3">
      <c r="A22" s="480"/>
      <c r="B22" s="480"/>
      <c r="C22" s="57"/>
      <c r="D22" s="480"/>
      <c r="E22" s="48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252.03</v>
      </c>
      <c r="D24" s="87">
        <f t="shared" ref="D24:D43" si="0">(C24-$C$46)/$C$46</f>
        <v>-9.6720232762778321E-4</v>
      </c>
      <c r="E24" s="53"/>
    </row>
    <row r="25" spans="1:5" ht="15.75" customHeight="1" x14ac:dyDescent="0.3">
      <c r="C25" s="95">
        <v>247.29</v>
      </c>
      <c r="D25" s="88">
        <f t="shared" si="0"/>
        <v>-1.9756296724989419E-2</v>
      </c>
      <c r="E25" s="53"/>
    </row>
    <row r="26" spans="1:5" ht="15.75" customHeight="1" x14ac:dyDescent="0.3">
      <c r="C26" s="95">
        <v>249.98</v>
      </c>
      <c r="D26" s="88">
        <f t="shared" si="0"/>
        <v>-9.0932874572884365E-3</v>
      </c>
      <c r="E26" s="53"/>
    </row>
    <row r="27" spans="1:5" ht="15.75" customHeight="1" x14ac:dyDescent="0.3">
      <c r="C27" s="95">
        <v>252.31</v>
      </c>
      <c r="D27" s="88">
        <f t="shared" si="0"/>
        <v>1.4270198276488972E-4</v>
      </c>
      <c r="E27" s="53"/>
    </row>
    <row r="28" spans="1:5" ht="15.75" customHeight="1" x14ac:dyDescent="0.3">
      <c r="C28" s="95">
        <v>246.8</v>
      </c>
      <c r="D28" s="88">
        <f t="shared" si="0"/>
        <v>-2.1698629268176513E-2</v>
      </c>
      <c r="E28" s="53"/>
    </row>
    <row r="29" spans="1:5" ht="15.75" customHeight="1" x14ac:dyDescent="0.3">
      <c r="C29" s="95">
        <v>255.86</v>
      </c>
      <c r="D29" s="88">
        <f t="shared" si="0"/>
        <v>1.4214703060957694E-2</v>
      </c>
      <c r="E29" s="53"/>
    </row>
    <row r="30" spans="1:5" ht="15.75" customHeight="1" x14ac:dyDescent="0.3">
      <c r="C30" s="95">
        <v>251.21</v>
      </c>
      <c r="D30" s="88">
        <f t="shared" si="0"/>
        <v>-4.2176363794919998E-3</v>
      </c>
      <c r="E30" s="53"/>
    </row>
    <row r="31" spans="1:5" ht="15.75" customHeight="1" x14ac:dyDescent="0.3">
      <c r="C31" s="95">
        <v>253.74</v>
      </c>
      <c r="D31" s="88">
        <f t="shared" si="0"/>
        <v>5.8111418536989021E-3</v>
      </c>
      <c r="E31" s="53"/>
    </row>
    <row r="32" spans="1:5" ht="15.75" customHeight="1" x14ac:dyDescent="0.3">
      <c r="C32" s="95">
        <v>253.05</v>
      </c>
      <c r="D32" s="88">
        <f t="shared" si="0"/>
        <v>3.076020517374121E-3</v>
      </c>
      <c r="E32" s="53"/>
    </row>
    <row r="33" spans="1:7" ht="15.75" customHeight="1" x14ac:dyDescent="0.3">
      <c r="C33" s="95">
        <v>250.46</v>
      </c>
      <c r="D33" s="88">
        <f t="shared" si="0"/>
        <v>-7.1905943537580756E-3</v>
      </c>
      <c r="E33" s="53"/>
    </row>
    <row r="34" spans="1:7" ht="15.75" customHeight="1" x14ac:dyDescent="0.3">
      <c r="C34" s="95">
        <v>249.13</v>
      </c>
      <c r="D34" s="88">
        <f t="shared" si="0"/>
        <v>-1.24626398281233E-2</v>
      </c>
      <c r="E34" s="53"/>
    </row>
    <row r="35" spans="1:7" ht="15.75" customHeight="1" x14ac:dyDescent="0.3">
      <c r="C35" s="95">
        <v>247.95</v>
      </c>
      <c r="D35" s="88">
        <f t="shared" si="0"/>
        <v>-1.7140093707635286E-2</v>
      </c>
      <c r="E35" s="53"/>
    </row>
    <row r="36" spans="1:7" ht="15.75" customHeight="1" x14ac:dyDescent="0.3">
      <c r="C36" s="95">
        <v>250.97</v>
      </c>
      <c r="D36" s="88">
        <f t="shared" si="0"/>
        <v>-5.1689829312571798E-3</v>
      </c>
      <c r="E36" s="53"/>
    </row>
    <row r="37" spans="1:7" ht="15.75" customHeight="1" x14ac:dyDescent="0.3">
      <c r="C37" s="95">
        <v>251.71</v>
      </c>
      <c r="D37" s="88">
        <f t="shared" si="0"/>
        <v>-2.2356643966479485E-3</v>
      </c>
      <c r="E37" s="53"/>
    </row>
    <row r="38" spans="1:7" ht="15.75" customHeight="1" x14ac:dyDescent="0.3">
      <c r="C38" s="95">
        <v>256.60000000000002</v>
      </c>
      <c r="D38" s="88">
        <f t="shared" si="0"/>
        <v>1.7148021595566925E-2</v>
      </c>
      <c r="E38" s="53"/>
    </row>
    <row r="39" spans="1:7" ht="15.75" customHeight="1" x14ac:dyDescent="0.3">
      <c r="C39" s="95">
        <v>254.87</v>
      </c>
      <c r="D39" s="88">
        <f t="shared" si="0"/>
        <v>1.0290398534926439E-2</v>
      </c>
      <c r="E39" s="53"/>
    </row>
    <row r="40" spans="1:7" ht="15.75" customHeight="1" x14ac:dyDescent="0.3">
      <c r="C40" s="95">
        <v>257.02</v>
      </c>
      <c r="D40" s="88">
        <f t="shared" si="0"/>
        <v>1.8812878061155766E-2</v>
      </c>
      <c r="E40" s="53"/>
    </row>
    <row r="41" spans="1:7" ht="15.75" customHeight="1" x14ac:dyDescent="0.3">
      <c r="C41" s="95">
        <v>255.09</v>
      </c>
      <c r="D41" s="88">
        <f t="shared" si="0"/>
        <v>1.1162466207377816E-2</v>
      </c>
      <c r="E41" s="53"/>
    </row>
    <row r="42" spans="1:7" ht="15.75" customHeight="1" x14ac:dyDescent="0.3">
      <c r="C42" s="95">
        <v>255.28</v>
      </c>
      <c r="D42" s="88">
        <f t="shared" si="0"/>
        <v>1.1915615560858546E-2</v>
      </c>
      <c r="E42" s="53"/>
    </row>
    <row r="43" spans="1:7" ht="16.5" customHeight="1" x14ac:dyDescent="0.3">
      <c r="C43" s="96">
        <v>254.13</v>
      </c>
      <c r="D43" s="89">
        <f t="shared" si="0"/>
        <v>7.3570800003172074E-3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5045.4799999999996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252.27399999999997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4">
        <f>C46</f>
        <v>252.27399999999997</v>
      </c>
      <c r="C49" s="93">
        <f>-IF(C46&lt;=80,10%,IF(C46&lt;250,7.5%,5%))</f>
        <v>-0.05</v>
      </c>
      <c r="D49" s="81">
        <f>IF(C46&lt;=80,C46*0.9,IF(C46&lt;250,C46*0.925,C46*0.95))</f>
        <v>239.66029999999995</v>
      </c>
    </row>
    <row r="50" spans="1:6" ht="17.25" customHeight="1" x14ac:dyDescent="0.3">
      <c r="B50" s="475"/>
      <c r="C50" s="94">
        <f>IF(C46&lt;=80, 10%, IF(C46&lt;250, 7.5%, 5%))</f>
        <v>0.05</v>
      </c>
      <c r="D50" s="81">
        <f>IF(C46&lt;=80, C46*1.1, IF(C46&lt;250, C46*1.075, C46*1.05))</f>
        <v>264.8877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0" zoomScale="39" zoomScaleNormal="40" zoomScalePageLayoutView="39" workbookViewId="0">
      <selection activeCell="B125" sqref="B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98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100" t="s">
        <v>33</v>
      </c>
      <c r="B18" s="484" t="s">
        <v>5</v>
      </c>
      <c r="C18" s="48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9" t="s">
        <v>9</v>
      </c>
      <c r="C20" s="48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4" t="s">
        <v>133</v>
      </c>
      <c r="C26" s="484"/>
    </row>
    <row r="27" spans="1:14" ht="26.25" customHeight="1" x14ac:dyDescent="0.4">
      <c r="A27" s="109" t="s">
        <v>48</v>
      </c>
      <c r="B27" s="490" t="s">
        <v>134</v>
      </c>
      <c r="C27" s="490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/>
      <c r="C29" s="491" t="s">
        <v>50</v>
      </c>
      <c r="D29" s="492"/>
      <c r="E29" s="492"/>
      <c r="F29" s="492"/>
      <c r="G29" s="49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572.66</v>
      </c>
      <c r="C31" s="494" t="s">
        <v>53</v>
      </c>
      <c r="D31" s="495"/>
      <c r="E31" s="495"/>
      <c r="F31" s="495"/>
      <c r="G31" s="495"/>
      <c r="H31" s="49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670.74</v>
      </c>
      <c r="C32" s="494" t="s">
        <v>55</v>
      </c>
      <c r="D32" s="495"/>
      <c r="E32" s="495"/>
      <c r="F32" s="495"/>
      <c r="G32" s="495"/>
      <c r="H32" s="49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0.8537734442555982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97" t="s">
        <v>59</v>
      </c>
      <c r="E36" s="498"/>
      <c r="F36" s="497" t="s">
        <v>60</v>
      </c>
      <c r="G36" s="49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12512745</v>
      </c>
      <c r="E38" s="133">
        <f>IF(ISBLANK(D38),"-",$D$48/$D$45*D38)</f>
        <v>14675650.82562563</v>
      </c>
      <c r="F38" s="132">
        <v>11844655</v>
      </c>
      <c r="G38" s="134">
        <f>IF(ISBLANK(F38),"-",$D$48/$F$45*F38)</f>
        <v>14702651.946415879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12493031</v>
      </c>
      <c r="E39" s="138">
        <f>IF(ISBLANK(D39),"-",$D$48/$D$45*D39)</f>
        <v>14652529.138068153</v>
      </c>
      <c r="F39" s="137">
        <v>11885639</v>
      </c>
      <c r="G39" s="139">
        <f>IF(ISBLANK(F39),"-",$D$48/$F$45*F39)</f>
        <v>14753524.976265369</v>
      </c>
      <c r="I39" s="501">
        <f>ABS((F43/D43*D42)-F42)/D42</f>
        <v>1.7296629066052408E-3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12551374</v>
      </c>
      <c r="E40" s="138">
        <f>IF(ISBLANK(D40),"-",$D$48/$D$45*D40)</f>
        <v>14720957.088619329</v>
      </c>
      <c r="F40" s="137">
        <v>11821247</v>
      </c>
      <c r="G40" s="139">
        <f>IF(ISBLANK(F40),"-",$D$48/$F$45*F40)</f>
        <v>14673595.829816308</v>
      </c>
      <c r="I40" s="50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12519050</v>
      </c>
      <c r="E42" s="148">
        <f>AVERAGE(E38:E41)</f>
        <v>14683045.68410437</v>
      </c>
      <c r="F42" s="147">
        <f>AVERAGE(F38:F41)</f>
        <v>11850513.666666666</v>
      </c>
      <c r="G42" s="149">
        <f>AVERAGE(G38:G41)</f>
        <v>14709924.250832519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30.11</v>
      </c>
      <c r="E43" s="140"/>
      <c r="F43" s="152">
        <v>28.45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25.707118406536061</v>
      </c>
      <c r="E44" s="155"/>
      <c r="F44" s="154">
        <f>F43*$B$34</f>
        <v>24.289854489071768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25.578582814503378</v>
      </c>
      <c r="E45" s="158"/>
      <c r="F45" s="157">
        <f>F44*$B$30/100</f>
        <v>24.168405216626411</v>
      </c>
      <c r="H45" s="150"/>
    </row>
    <row r="46" spans="1:14" ht="19.5" customHeight="1" x14ac:dyDescent="0.3">
      <c r="A46" s="502" t="s">
        <v>78</v>
      </c>
      <c r="B46" s="503"/>
      <c r="C46" s="153" t="s">
        <v>79</v>
      </c>
      <c r="D46" s="159">
        <f>D45/$B$45</f>
        <v>5.1157165629006754E-2</v>
      </c>
      <c r="E46" s="160"/>
      <c r="F46" s="161">
        <f>F45/$B$45</f>
        <v>4.8336810433252823E-2</v>
      </c>
      <c r="H46" s="150"/>
    </row>
    <row r="47" spans="1:14" ht="27" customHeight="1" x14ac:dyDescent="0.4">
      <c r="A47" s="504"/>
      <c r="B47" s="505"/>
      <c r="C47" s="162" t="s">
        <v>80</v>
      </c>
      <c r="D47" s="163">
        <v>0.06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35.138127335591804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14696484.967468446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2.5057316584710834E-3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ABACAVIR SULFATE 60mg &amp; LAMIVUDINE 30mg TABLETS</v>
      </c>
    </row>
    <row r="56" spans="1:12" ht="26.25" customHeight="1" x14ac:dyDescent="0.4">
      <c r="A56" s="177" t="s">
        <v>87</v>
      </c>
      <c r="B56" s="178">
        <v>60</v>
      </c>
      <c r="C56" s="99" t="str">
        <f>B20</f>
        <v>ABACAVIR SULFATE &amp; LAMIVUDINE TABLETS</v>
      </c>
      <c r="H56" s="179"/>
    </row>
    <row r="57" spans="1:12" ht="18.75" x14ac:dyDescent="0.3">
      <c r="A57" s="176" t="s">
        <v>88</v>
      </c>
      <c r="B57" s="247">
        <f>Uniformity!C46</f>
        <v>252.27399999999997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506" t="s">
        <v>94</v>
      </c>
      <c r="D60" s="509">
        <v>250.61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7"/>
      <c r="D61" s="510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7"/>
      <c r="D62" s="510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508"/>
      <c r="D63" s="51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6" t="s">
        <v>99</v>
      </c>
      <c r="D64" s="509">
        <v>250.63</v>
      </c>
      <c r="E64" s="182">
        <v>1</v>
      </c>
      <c r="F64" s="183">
        <v>14298658</v>
      </c>
      <c r="G64" s="248">
        <f>IF(ISBLANK(F64),"-",(F64/$D$50*$D$47*$B$68)*($B$57/$D$64))</f>
        <v>58.758742591785065</v>
      </c>
      <c r="H64" s="266">
        <f t="shared" si="0"/>
        <v>97.931237652975113</v>
      </c>
    </row>
    <row r="65" spans="1:8" ht="26.25" customHeight="1" x14ac:dyDescent="0.4">
      <c r="A65" s="124" t="s">
        <v>100</v>
      </c>
      <c r="B65" s="125">
        <v>1</v>
      </c>
      <c r="C65" s="507"/>
      <c r="D65" s="510"/>
      <c r="E65" s="184">
        <v>2</v>
      </c>
      <c r="F65" s="137">
        <v>14278652</v>
      </c>
      <c r="G65" s="249">
        <f>IF(ISBLANK(F65),"-",(F65/$D$50*$D$47*$B$68)*($B$57/$D$64))</f>
        <v>58.676530162878002</v>
      </c>
      <c r="H65" s="267">
        <f t="shared" si="0"/>
        <v>97.794216938130006</v>
      </c>
    </row>
    <row r="66" spans="1:8" ht="26.25" customHeight="1" x14ac:dyDescent="0.4">
      <c r="A66" s="124" t="s">
        <v>101</v>
      </c>
      <c r="B66" s="125">
        <v>1</v>
      </c>
      <c r="C66" s="507"/>
      <c r="D66" s="510"/>
      <c r="E66" s="184">
        <v>3</v>
      </c>
      <c r="F66" s="137">
        <v>14354176</v>
      </c>
      <c r="G66" s="249">
        <f>IF(ISBLANK(F66),"-",(F66/$D$50*$D$47*$B$68)*($B$57/$D$64))</f>
        <v>58.986887629676779</v>
      </c>
      <c r="H66" s="267">
        <f t="shared" si="0"/>
        <v>98.31147938279463</v>
      </c>
    </row>
    <row r="67" spans="1:8" ht="27" customHeight="1" x14ac:dyDescent="0.4">
      <c r="A67" s="124" t="s">
        <v>102</v>
      </c>
      <c r="B67" s="125">
        <v>1</v>
      </c>
      <c r="C67" s="508"/>
      <c r="D67" s="51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506" t="s">
        <v>104</v>
      </c>
      <c r="D68" s="509">
        <v>257.06</v>
      </c>
      <c r="E68" s="182">
        <v>1</v>
      </c>
      <c r="F68" s="183">
        <v>14413771</v>
      </c>
      <c r="G68" s="248">
        <f>IF(ISBLANK(F68),"-",(F68/$D$50*$D$47*$B$68)*($B$57/$D$68))</f>
        <v>57.750185508590775</v>
      </c>
      <c r="H68" s="267">
        <f t="shared" si="0"/>
        <v>96.25030918098463</v>
      </c>
    </row>
    <row r="69" spans="1:8" ht="27" customHeight="1" x14ac:dyDescent="0.4">
      <c r="A69" s="172" t="s">
        <v>105</v>
      </c>
      <c r="B69" s="189">
        <f>(D47*B68)/B56*B57</f>
        <v>252.27399999999997</v>
      </c>
      <c r="C69" s="507"/>
      <c r="D69" s="510"/>
      <c r="E69" s="184">
        <v>2</v>
      </c>
      <c r="F69" s="137">
        <v>14392911</v>
      </c>
      <c r="G69" s="249">
        <f>IF(ISBLANK(F69),"-",(F69/$D$50*$D$47*$B$68)*($B$57/$D$68))</f>
        <v>57.666607875110316</v>
      </c>
      <c r="H69" s="267">
        <f t="shared" si="0"/>
        <v>96.11101312518386</v>
      </c>
    </row>
    <row r="70" spans="1:8" ht="26.25" customHeight="1" x14ac:dyDescent="0.4">
      <c r="A70" s="519" t="s">
        <v>78</v>
      </c>
      <c r="B70" s="520"/>
      <c r="C70" s="507"/>
      <c r="D70" s="510"/>
      <c r="E70" s="184">
        <v>3</v>
      </c>
      <c r="F70" s="137">
        <v>14181112</v>
      </c>
      <c r="G70" s="249">
        <f>IF(ISBLANK(F70),"-",(F70/$D$50*$D$47*$B$68)*($B$57/$D$68))</f>
        <v>56.818014433426391</v>
      </c>
      <c r="H70" s="267">
        <f t="shared" si="0"/>
        <v>94.696690722377326</v>
      </c>
    </row>
    <row r="71" spans="1:8" ht="27" customHeight="1" x14ac:dyDescent="0.4">
      <c r="A71" s="521"/>
      <c r="B71" s="522"/>
      <c r="C71" s="518"/>
      <c r="D71" s="51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58.109494700244561</v>
      </c>
      <c r="H72" s="269">
        <f>AVERAGE(H60:H71)</f>
        <v>96.849157833740932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1.4410417035139065E-2</v>
      </c>
      <c r="H73" s="253">
        <f>STDEV(H60:H71)/H72</f>
        <v>1.4410417035139044E-2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514" t="str">
        <f>B26</f>
        <v>Abacavir Sulfate</v>
      </c>
      <c r="D76" s="514"/>
      <c r="E76" s="198" t="s">
        <v>108</v>
      </c>
      <c r="F76" s="198"/>
      <c r="G76" s="199">
        <f>H72</f>
        <v>96.849157833740932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0"/>
      <c r="C79" s="500"/>
    </row>
    <row r="80" spans="1:8" ht="26.25" customHeight="1" x14ac:dyDescent="0.4">
      <c r="A80" s="109" t="s">
        <v>48</v>
      </c>
      <c r="B80" s="500"/>
      <c r="C80" s="500"/>
    </row>
    <row r="81" spans="1:12" ht="27" customHeight="1" x14ac:dyDescent="0.4">
      <c r="A81" s="109" t="s">
        <v>6</v>
      </c>
      <c r="B81" s="201"/>
    </row>
    <row r="82" spans="1:12" s="14" customFormat="1" ht="27" customHeight="1" x14ac:dyDescent="0.4">
      <c r="A82" s="109" t="s">
        <v>49</v>
      </c>
      <c r="B82" s="111">
        <v>0</v>
      </c>
      <c r="C82" s="491" t="s">
        <v>50</v>
      </c>
      <c r="D82" s="492"/>
      <c r="E82" s="492"/>
      <c r="F82" s="492"/>
      <c r="G82" s="49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/>
      <c r="C84" s="494" t="s">
        <v>111</v>
      </c>
      <c r="D84" s="495"/>
      <c r="E84" s="495"/>
      <c r="F84" s="495"/>
      <c r="G84" s="495"/>
      <c r="H84" s="49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/>
      <c r="C85" s="494" t="s">
        <v>112</v>
      </c>
      <c r="D85" s="495"/>
      <c r="E85" s="495"/>
      <c r="F85" s="495"/>
      <c r="G85" s="495"/>
      <c r="H85" s="49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 t="e">
        <f>B84/B85</f>
        <v>#DIV/0!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/>
      <c r="D89" s="202" t="s">
        <v>59</v>
      </c>
      <c r="E89" s="203"/>
      <c r="F89" s="497" t="s">
        <v>60</v>
      </c>
      <c r="G89" s="499"/>
    </row>
    <row r="90" spans="1:12" ht="27" customHeight="1" x14ac:dyDescent="0.4">
      <c r="A90" s="124" t="s">
        <v>61</v>
      </c>
      <c r="B90" s="125"/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/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50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 t="e">
        <f>D96*$B$87</f>
        <v>#DIV/0!</v>
      </c>
      <c r="E97" s="155"/>
      <c r="F97" s="154" t="e">
        <f>F96*$B$87</f>
        <v>#DIV/0!</v>
      </c>
    </row>
    <row r="98" spans="1:10" ht="19.5" customHeight="1" x14ac:dyDescent="0.3">
      <c r="A98" s="124" t="s">
        <v>76</v>
      </c>
      <c r="B98" s="217" t="e">
        <f>(B97/B96)*(B95/B94)*(B93/B92)*(B91/B90)*B89</f>
        <v>#DIV/0!</v>
      </c>
      <c r="C98" s="215" t="s">
        <v>115</v>
      </c>
      <c r="D98" s="218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">
      <c r="A99" s="502" t="s">
        <v>78</v>
      </c>
      <c r="B99" s="516"/>
      <c r="C99" s="215" t="s">
        <v>116</v>
      </c>
      <c r="D99" s="219" t="e">
        <f>D98/$B$98</f>
        <v>#DIV/0!</v>
      </c>
      <c r="E99" s="158"/>
      <c r="F99" s="161" t="e">
        <f>F98/$B$98</f>
        <v>#DIV/0!</v>
      </c>
      <c r="G99" s="220"/>
      <c r="H99" s="150"/>
    </row>
    <row r="100" spans="1:10" ht="19.5" customHeight="1" x14ac:dyDescent="0.3">
      <c r="A100" s="504"/>
      <c r="B100" s="517"/>
      <c r="C100" s="215" t="s">
        <v>80</v>
      </c>
      <c r="D100" s="221" t="e">
        <f>$B$56/$B$116</f>
        <v>#DIV/0!</v>
      </c>
      <c r="F100" s="166"/>
      <c r="G100" s="222"/>
      <c r="H100" s="150"/>
    </row>
    <row r="101" spans="1:10" ht="18.75" x14ac:dyDescent="0.3">
      <c r="C101" s="215" t="s">
        <v>81</v>
      </c>
      <c r="D101" s="216" t="e">
        <f>D100*$B$98</f>
        <v>#DIV/0!</v>
      </c>
      <c r="F101" s="166"/>
      <c r="G101" s="220"/>
      <c r="H101" s="150"/>
    </row>
    <row r="102" spans="1:10" ht="19.5" customHeight="1" x14ac:dyDescent="0.3">
      <c r="C102" s="223" t="s">
        <v>82</v>
      </c>
      <c r="D102" s="224" t="e">
        <f>D101/B34</f>
        <v>#DIV/0!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/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/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/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 t="e">
        <f>(B115/B114)*(B113/B112)*(B111/B110)*(B109/B108)*B107</f>
        <v>#DIV/0!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502" t="s">
        <v>78</v>
      </c>
      <c r="B117" s="503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504"/>
      <c r="B118" s="505"/>
      <c r="C118" s="98"/>
      <c r="D118" s="260"/>
      <c r="E118" s="482" t="s">
        <v>123</v>
      </c>
      <c r="F118" s="48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14" t="str">
        <f>B26</f>
        <v>Abacavir Sulfate</v>
      </c>
      <c r="D124" s="514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5" t="s">
        <v>26</v>
      </c>
      <c r="C127" s="515"/>
      <c r="E127" s="204" t="s">
        <v>27</v>
      </c>
      <c r="F127" s="239"/>
      <c r="G127" s="515" t="s">
        <v>28</v>
      </c>
      <c r="H127" s="515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0" zoomScale="44" zoomScaleNormal="40" zoomScalePageLayoutView="44" workbookViewId="0">
      <selection activeCell="B130" sqref="B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285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87" t="s">
        <v>33</v>
      </c>
      <c r="B18" s="484" t="s">
        <v>5</v>
      </c>
      <c r="C18" s="484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89" t="s">
        <v>9</v>
      </c>
      <c r="C20" s="489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84" t="s">
        <v>132</v>
      </c>
      <c r="C26" s="484"/>
    </row>
    <row r="27" spans="1:14" ht="26.25" customHeight="1" x14ac:dyDescent="0.4">
      <c r="A27" s="296" t="s">
        <v>48</v>
      </c>
      <c r="B27" s="490" t="s">
        <v>135</v>
      </c>
      <c r="C27" s="490"/>
    </row>
    <row r="28" spans="1:14" ht="27" customHeight="1" x14ac:dyDescent="0.4">
      <c r="A28" s="296" t="s">
        <v>6</v>
      </c>
      <c r="B28" s="297">
        <v>99.8</v>
      </c>
    </row>
    <row r="29" spans="1:14" s="14" customFormat="1" ht="27" customHeight="1" x14ac:dyDescent="0.4">
      <c r="A29" s="296" t="s">
        <v>49</v>
      </c>
      <c r="B29" s="298">
        <v>0</v>
      </c>
      <c r="C29" s="491" t="s">
        <v>50</v>
      </c>
      <c r="D29" s="492"/>
      <c r="E29" s="492"/>
      <c r="F29" s="492"/>
      <c r="G29" s="493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99.8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4" t="s">
        <v>53</v>
      </c>
      <c r="D31" s="495"/>
      <c r="E31" s="495"/>
      <c r="F31" s="495"/>
      <c r="G31" s="495"/>
      <c r="H31" s="496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4" t="s">
        <v>55</v>
      </c>
      <c r="D32" s="495"/>
      <c r="E32" s="495"/>
      <c r="F32" s="495"/>
      <c r="G32" s="495"/>
      <c r="H32" s="496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497" t="s">
        <v>59</v>
      </c>
      <c r="E36" s="498"/>
      <c r="F36" s="497" t="s">
        <v>60</v>
      </c>
      <c r="G36" s="499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10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100</v>
      </c>
      <c r="C38" s="318">
        <v>1</v>
      </c>
      <c r="D38" s="319">
        <v>7260066</v>
      </c>
      <c r="E38" s="320">
        <f>IF(ISBLANK(D38),"-",$D$48/$D$45*D38)</f>
        <v>3013510.8659738703</v>
      </c>
      <c r="F38" s="319">
        <v>4715628</v>
      </c>
      <c r="G38" s="321">
        <f>IF(ISBLANK(F38),"-",$D$48/$F$45*F38)</f>
        <v>3028896.2540465547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7252027</v>
      </c>
      <c r="E39" s="325">
        <f>IF(ISBLANK(D39),"-",$D$48/$D$45*D39)</f>
        <v>3010174.0348966368</v>
      </c>
      <c r="F39" s="324">
        <v>4731624</v>
      </c>
      <c r="G39" s="326">
        <f>IF(ISBLANK(F39),"-",$D$48/$F$45*F39)</f>
        <v>3039170.6489902884</v>
      </c>
      <c r="I39" s="501">
        <f>ABS((F43/D43*D42)-F42)/D42</f>
        <v>3.1014715637130534E-3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7293106</v>
      </c>
      <c r="E40" s="325">
        <f>IF(ISBLANK(D40),"-",$D$48/$D$45*D40)</f>
        <v>3027225.1213279916</v>
      </c>
      <c r="F40" s="324">
        <v>4711557</v>
      </c>
      <c r="G40" s="326">
        <f>IF(ISBLANK(F40),"-",$D$48/$F$45*F40)</f>
        <v>3026281.4089717898</v>
      </c>
      <c r="I40" s="501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7268399.666666667</v>
      </c>
      <c r="E42" s="335">
        <f>AVERAGE(E38:E41)</f>
        <v>3016970.0073994994</v>
      </c>
      <c r="F42" s="334">
        <f>AVERAGE(F38:F41)</f>
        <v>4719603</v>
      </c>
      <c r="G42" s="336">
        <f>AVERAGE(G38:G41)</f>
        <v>3031449.4373362106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24.14</v>
      </c>
      <c r="E43" s="327"/>
      <c r="F43" s="339">
        <v>15.6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24.14</v>
      </c>
      <c r="E44" s="342"/>
      <c r="F44" s="341">
        <f>F43*$B$34</f>
        <v>15.6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500</v>
      </c>
      <c r="C45" s="340" t="s">
        <v>77</v>
      </c>
      <c r="D45" s="344">
        <f>D44*$B$30/100</f>
        <v>24.091719999999999</v>
      </c>
      <c r="E45" s="345"/>
      <c r="F45" s="344">
        <f>F44*$B$30/100</f>
        <v>15.5688</v>
      </c>
      <c r="H45" s="337"/>
    </row>
    <row r="46" spans="1:14" ht="19.5" customHeight="1" x14ac:dyDescent="0.3">
      <c r="A46" s="502" t="s">
        <v>78</v>
      </c>
      <c r="B46" s="503"/>
      <c r="C46" s="340" t="s">
        <v>79</v>
      </c>
      <c r="D46" s="346">
        <f>D45/$B$45</f>
        <v>4.8183439999999994E-2</v>
      </c>
      <c r="E46" s="347"/>
      <c r="F46" s="348">
        <f>F45/$B$45</f>
        <v>3.1137599999999998E-2</v>
      </c>
      <c r="H46" s="337"/>
    </row>
    <row r="47" spans="1:14" ht="27" customHeight="1" x14ac:dyDescent="0.4">
      <c r="A47" s="504"/>
      <c r="B47" s="505"/>
      <c r="C47" s="349" t="s">
        <v>80</v>
      </c>
      <c r="D47" s="350">
        <v>0.02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3024209.7223678553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3.5325272379407393E-3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ABACAVIR SULFATE 60mg &amp; LAMIVUDINE 30mg TABLETS</v>
      </c>
    </row>
    <row r="56" spans="1:12" ht="26.25" customHeight="1" x14ac:dyDescent="0.4">
      <c r="A56" s="364" t="s">
        <v>87</v>
      </c>
      <c r="B56" s="365">
        <v>30</v>
      </c>
      <c r="C56" s="286" t="str">
        <f>B20</f>
        <v>ABACAVIR SULFATE &amp; LAMIVUDINE TABLETS</v>
      </c>
      <c r="H56" s="366"/>
    </row>
    <row r="57" spans="1:12" ht="18.75" x14ac:dyDescent="0.3">
      <c r="A57" s="363" t="s">
        <v>88</v>
      </c>
      <c r="B57" s="434">
        <f>Uniformity!C46</f>
        <v>252.27399999999997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10</v>
      </c>
      <c r="C60" s="506" t="s">
        <v>94</v>
      </c>
      <c r="D60" s="509">
        <v>250.61</v>
      </c>
      <c r="E60" s="369">
        <v>1</v>
      </c>
      <c r="F60" s="370"/>
      <c r="G60" s="435" t="str">
        <f>IF(ISBLANK(F60),"-",(F60/$D$50*$D$47*$B$68)*($B$57/$D$60))</f>
        <v>-</v>
      </c>
      <c r="H60" s="453" t="str">
        <f t="shared" ref="H60:H71" si="0">IF(ISBLANK(F60),"-",(G60/$B$56)*100)</f>
        <v>-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7"/>
      <c r="D61" s="510"/>
      <c r="E61" s="371">
        <v>2</v>
      </c>
      <c r="F61" s="324"/>
      <c r="G61" s="436" t="str">
        <f>IF(ISBLANK(F61),"-",(F61/$D$50*$D$47*$B$68)*($B$57/$D$60))</f>
        <v>-</v>
      </c>
      <c r="H61" s="454" t="str">
        <f t="shared" si="0"/>
        <v>-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7"/>
      <c r="D62" s="510"/>
      <c r="E62" s="371">
        <v>3</v>
      </c>
      <c r="F62" s="372"/>
      <c r="G62" s="436" t="str">
        <f>IF(ISBLANK(F62),"-",(F62/$D$50*$D$47*$B$68)*($B$57/$D$60))</f>
        <v>-</v>
      </c>
      <c r="H62" s="454" t="str">
        <f t="shared" si="0"/>
        <v>-</v>
      </c>
      <c r="L62" s="299"/>
    </row>
    <row r="63" spans="1:12" ht="27" customHeight="1" x14ac:dyDescent="0.4">
      <c r="A63" s="311" t="s">
        <v>97</v>
      </c>
      <c r="B63" s="312">
        <v>1</v>
      </c>
      <c r="C63" s="508"/>
      <c r="D63" s="511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6" t="s">
        <v>99</v>
      </c>
      <c r="D64" s="509">
        <v>250.63</v>
      </c>
      <c r="E64" s="369">
        <v>1</v>
      </c>
      <c r="F64" s="370">
        <v>4326248</v>
      </c>
      <c r="G64" s="435">
        <f>IF(ISBLANK(F64),"-",(F64/$D$50*$D$47*$B$68)*($B$57/$D$64))</f>
        <v>28.798438562945943</v>
      </c>
      <c r="H64" s="453">
        <f t="shared" si="0"/>
        <v>95.994795209819799</v>
      </c>
    </row>
    <row r="65" spans="1:8" ht="26.25" customHeight="1" x14ac:dyDescent="0.4">
      <c r="A65" s="311" t="s">
        <v>100</v>
      </c>
      <c r="B65" s="312">
        <v>1</v>
      </c>
      <c r="C65" s="507"/>
      <c r="D65" s="510"/>
      <c r="E65" s="371">
        <v>2</v>
      </c>
      <c r="F65" s="324">
        <v>4323648</v>
      </c>
      <c r="G65" s="436">
        <f>IF(ISBLANK(F65),"-",(F65/$D$50*$D$47*$B$68)*($B$57/$D$64))</f>
        <v>28.78113120093996</v>
      </c>
      <c r="H65" s="454">
        <f t="shared" si="0"/>
        <v>95.9371040031332</v>
      </c>
    </row>
    <row r="66" spans="1:8" ht="26.25" customHeight="1" x14ac:dyDescent="0.4">
      <c r="A66" s="311" t="s">
        <v>101</v>
      </c>
      <c r="B66" s="312">
        <v>1</v>
      </c>
      <c r="C66" s="507"/>
      <c r="D66" s="510"/>
      <c r="E66" s="371">
        <v>3</v>
      </c>
      <c r="F66" s="324">
        <v>4352433</v>
      </c>
      <c r="G66" s="436">
        <f>IF(ISBLANK(F66),"-",(F66/$D$50*$D$47*$B$68)*($B$57/$D$64))</f>
        <v>28.97274366837928</v>
      </c>
      <c r="H66" s="454">
        <f t="shared" si="0"/>
        <v>96.575812227930939</v>
      </c>
    </row>
    <row r="67" spans="1:8" ht="27" customHeight="1" x14ac:dyDescent="0.4">
      <c r="A67" s="311" t="s">
        <v>102</v>
      </c>
      <c r="B67" s="312">
        <v>1</v>
      </c>
      <c r="C67" s="508"/>
      <c r="D67" s="511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1000</v>
      </c>
      <c r="C68" s="506" t="s">
        <v>104</v>
      </c>
      <c r="D68" s="509">
        <v>257.06</v>
      </c>
      <c r="E68" s="369">
        <v>1</v>
      </c>
      <c r="F68" s="370">
        <v>4449072</v>
      </c>
      <c r="G68" s="435">
        <f>IF(ISBLANK(F68),"-",(F68/$D$50*$D$47*$B$68)*($B$57/$D$68))</f>
        <v>28.875234148385324</v>
      </c>
      <c r="H68" s="454">
        <f t="shared" si="0"/>
        <v>96.250780494617743</v>
      </c>
    </row>
    <row r="69" spans="1:8" ht="27" customHeight="1" x14ac:dyDescent="0.4">
      <c r="A69" s="359" t="s">
        <v>105</v>
      </c>
      <c r="B69" s="376">
        <f>(D47*B68)/B56*B57</f>
        <v>168.18266666666665</v>
      </c>
      <c r="C69" s="507"/>
      <c r="D69" s="510"/>
      <c r="E69" s="371">
        <v>2</v>
      </c>
      <c r="F69" s="324">
        <v>4459655</v>
      </c>
      <c r="G69" s="436">
        <f>IF(ISBLANK(F69),"-",(F69/$D$50*$D$47*$B$68)*($B$57/$D$68))</f>
        <v>28.943919618746861</v>
      </c>
      <c r="H69" s="454">
        <f t="shared" si="0"/>
        <v>96.479732062489532</v>
      </c>
    </row>
    <row r="70" spans="1:8" ht="26.25" customHeight="1" x14ac:dyDescent="0.4">
      <c r="A70" s="519" t="s">
        <v>78</v>
      </c>
      <c r="B70" s="520"/>
      <c r="C70" s="507"/>
      <c r="D70" s="510"/>
      <c r="E70" s="371">
        <v>3</v>
      </c>
      <c r="F70" s="324">
        <v>4398799</v>
      </c>
      <c r="G70" s="436">
        <f>IF(ISBLANK(F70),"-",(F70/$D$50*$D$47*$B$68)*($B$57/$D$68))</f>
        <v>28.548953826030061</v>
      </c>
      <c r="H70" s="454">
        <f t="shared" si="0"/>
        <v>95.163179420100207</v>
      </c>
    </row>
    <row r="71" spans="1:8" ht="27" customHeight="1" x14ac:dyDescent="0.4">
      <c r="A71" s="521"/>
      <c r="B71" s="522"/>
      <c r="C71" s="518"/>
      <c r="D71" s="511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28.820070170904572</v>
      </c>
      <c r="H72" s="456">
        <f>AVERAGE(H60:H71)</f>
        <v>96.066900569681891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5.3118427324414077E-3</v>
      </c>
      <c r="H73" s="440">
        <f>STDEV(H60:H71)/H72</f>
        <v>5.3118427324414016E-3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6</v>
      </c>
      <c r="H74" s="383">
        <f>COUNT(H60:H71)</f>
        <v>6</v>
      </c>
    </row>
    <row r="76" spans="1:8" ht="26.25" customHeight="1" x14ac:dyDescent="0.4">
      <c r="A76" s="295" t="s">
        <v>106</v>
      </c>
      <c r="B76" s="384" t="s">
        <v>107</v>
      </c>
      <c r="C76" s="514" t="str">
        <f>B26</f>
        <v>Lamivudine</v>
      </c>
      <c r="D76" s="514"/>
      <c r="E76" s="385" t="s">
        <v>108</v>
      </c>
      <c r="F76" s="385"/>
      <c r="G76" s="386">
        <f>H72</f>
        <v>96.066900569681891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0"/>
      <c r="C79" s="500"/>
    </row>
    <row r="80" spans="1:8" ht="26.25" customHeight="1" x14ac:dyDescent="0.4">
      <c r="A80" s="296" t="s">
        <v>48</v>
      </c>
      <c r="B80" s="500"/>
      <c r="C80" s="500"/>
    </row>
    <row r="81" spans="1:12" ht="27" customHeight="1" x14ac:dyDescent="0.4">
      <c r="A81" s="296" t="s">
        <v>6</v>
      </c>
      <c r="B81" s="388"/>
    </row>
    <row r="82" spans="1:12" s="14" customFormat="1" ht="27" customHeight="1" x14ac:dyDescent="0.4">
      <c r="A82" s="296" t="s">
        <v>49</v>
      </c>
      <c r="B82" s="298">
        <v>0</v>
      </c>
      <c r="C82" s="491" t="s">
        <v>50</v>
      </c>
      <c r="D82" s="492"/>
      <c r="E82" s="492"/>
      <c r="F82" s="492"/>
      <c r="G82" s="493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0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/>
      <c r="C84" s="494" t="s">
        <v>111</v>
      </c>
      <c r="D84" s="495"/>
      <c r="E84" s="495"/>
      <c r="F84" s="495"/>
      <c r="G84" s="495"/>
      <c r="H84" s="496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/>
      <c r="C85" s="494" t="s">
        <v>112</v>
      </c>
      <c r="D85" s="495"/>
      <c r="E85" s="495"/>
      <c r="F85" s="495"/>
      <c r="G85" s="495"/>
      <c r="H85" s="496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 t="e">
        <f>B84/B85</f>
        <v>#DIV/0!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/>
      <c r="D89" s="389" t="s">
        <v>59</v>
      </c>
      <c r="E89" s="390"/>
      <c r="F89" s="497" t="s">
        <v>60</v>
      </c>
      <c r="G89" s="499"/>
    </row>
    <row r="90" spans="1:12" ht="27" customHeight="1" x14ac:dyDescent="0.4">
      <c r="A90" s="311" t="s">
        <v>61</v>
      </c>
      <c r="B90" s="312"/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/>
      <c r="C91" s="393">
        <v>1</v>
      </c>
      <c r="D91" s="319"/>
      <c r="E91" s="320" t="str">
        <f>IF(ISBLANK(D91),"-",$D$101/$D$98*D91)</f>
        <v>-</v>
      </c>
      <c r="F91" s="319"/>
      <c r="G91" s="321" t="str">
        <f>IF(ISBLANK(F91),"-",$D$101/$F$98*F91)</f>
        <v>-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/>
      <c r="E92" s="325" t="str">
        <f>IF(ISBLANK(D92),"-",$D$101/$D$98*D92)</f>
        <v>-</v>
      </c>
      <c r="F92" s="324"/>
      <c r="G92" s="326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/>
      <c r="E93" s="325" t="str">
        <f>IF(ISBLANK(D93),"-",$D$101/$D$98*D93)</f>
        <v>-</v>
      </c>
      <c r="F93" s="324"/>
      <c r="G93" s="326" t="str">
        <f>IF(ISBLANK(F93),"-",$D$101/$F$98*F93)</f>
        <v>-</v>
      </c>
      <c r="I93" s="501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 t="e">
        <f>AVERAGE(D91:D94)</f>
        <v>#DIV/0!</v>
      </c>
      <c r="E95" s="335" t="e">
        <f>AVERAGE(E91:E94)</f>
        <v>#DIV/0!</v>
      </c>
      <c r="F95" s="398" t="e">
        <f>AVERAGE(F91:F94)</f>
        <v>#DIV/0!</v>
      </c>
      <c r="G95" s="399" t="e">
        <f>AVERAGE(G91:G94)</f>
        <v>#DIV/0!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/>
      <c r="E96" s="327"/>
      <c r="F96" s="339"/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 t="e">
        <f>D96*$B$87</f>
        <v>#DIV/0!</v>
      </c>
      <c r="E97" s="342"/>
      <c r="F97" s="341" t="e">
        <f>F96*$B$87</f>
        <v>#DIV/0!</v>
      </c>
    </row>
    <row r="98" spans="1:10" ht="19.5" customHeight="1" x14ac:dyDescent="0.3">
      <c r="A98" s="311" t="s">
        <v>76</v>
      </c>
      <c r="B98" s="404" t="e">
        <f>(B97/B96)*(B95/B94)*(B93/B92)*(B91/B90)*B89</f>
        <v>#DIV/0!</v>
      </c>
      <c r="C98" s="402" t="s">
        <v>115</v>
      </c>
      <c r="D98" s="405" t="e">
        <f>D97*$B$83/100</f>
        <v>#DIV/0!</v>
      </c>
      <c r="E98" s="345"/>
      <c r="F98" s="344" t="e">
        <f>F97*$B$83/100</f>
        <v>#DIV/0!</v>
      </c>
    </row>
    <row r="99" spans="1:10" ht="19.5" customHeight="1" x14ac:dyDescent="0.3">
      <c r="A99" s="502" t="s">
        <v>78</v>
      </c>
      <c r="B99" s="516"/>
      <c r="C99" s="402" t="s">
        <v>116</v>
      </c>
      <c r="D99" s="406" t="e">
        <f>D98/$B$98</f>
        <v>#DIV/0!</v>
      </c>
      <c r="E99" s="345"/>
      <c r="F99" s="348" t="e">
        <f>F98/$B$98</f>
        <v>#DIV/0!</v>
      </c>
      <c r="G99" s="407"/>
      <c r="H99" s="337"/>
    </row>
    <row r="100" spans="1:10" ht="19.5" customHeight="1" x14ac:dyDescent="0.3">
      <c r="A100" s="504"/>
      <c r="B100" s="517"/>
      <c r="C100" s="402" t="s">
        <v>80</v>
      </c>
      <c r="D100" s="408" t="e">
        <f>$B$56/$B$116</f>
        <v>#DIV/0!</v>
      </c>
      <c r="F100" s="353"/>
      <c r="G100" s="409"/>
      <c r="H100" s="337"/>
    </row>
    <row r="101" spans="1:10" ht="18.75" x14ac:dyDescent="0.3">
      <c r="C101" s="402" t="s">
        <v>81</v>
      </c>
      <c r="D101" s="403" t="e">
        <f>D100*$B$98</f>
        <v>#DIV/0!</v>
      </c>
      <c r="F101" s="353"/>
      <c r="G101" s="407"/>
      <c r="H101" s="337"/>
    </row>
    <row r="102" spans="1:10" ht="19.5" customHeight="1" x14ac:dyDescent="0.3">
      <c r="C102" s="410" t="s">
        <v>82</v>
      </c>
      <c r="D102" s="411" t="e">
        <f>D101/B34</f>
        <v>#DIV/0!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 t="e">
        <f>AVERAGE(E91:E94,G91:G94)</f>
        <v>#DIV/0!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 t="e">
        <f>STDEV(E91:E94,G91:G94)/D103</f>
        <v>#DIV/0!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0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/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/>
      <c r="C108" s="462">
        <v>1</v>
      </c>
      <c r="D108" s="463"/>
      <c r="E108" s="437" t="str">
        <f t="shared" ref="E108:E113" si="1">IF(ISBLANK(D108),"-",D108/$D$103*$D$100*$B$116)</f>
        <v>-</v>
      </c>
      <c r="F108" s="464" t="str">
        <f t="shared" ref="F108:F113" si="2">IF(ISBLANK(D108), "-", (E108/$B$56)*100)</f>
        <v>-</v>
      </c>
    </row>
    <row r="109" spans="1:10" ht="26.25" customHeight="1" x14ac:dyDescent="0.4">
      <c r="A109" s="311" t="s">
        <v>95</v>
      </c>
      <c r="B109" s="312"/>
      <c r="C109" s="458">
        <v>2</v>
      </c>
      <c r="D109" s="460"/>
      <c r="E109" s="438" t="str">
        <f t="shared" si="1"/>
        <v>-</v>
      </c>
      <c r="F109" s="465" t="str">
        <f t="shared" si="2"/>
        <v>-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/>
      <c r="E110" s="438" t="str">
        <f t="shared" si="1"/>
        <v>-</v>
      </c>
      <c r="F110" s="465" t="str">
        <f t="shared" si="2"/>
        <v>-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/>
      <c r="E111" s="438" t="str">
        <f t="shared" si="1"/>
        <v>-</v>
      </c>
      <c r="F111" s="465" t="str">
        <f t="shared" si="2"/>
        <v>-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/>
      <c r="E112" s="438" t="str">
        <f t="shared" si="1"/>
        <v>-</v>
      </c>
      <c r="F112" s="465" t="str">
        <f t="shared" si="2"/>
        <v>-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/>
      <c r="E113" s="439" t="str">
        <f t="shared" si="1"/>
        <v>-</v>
      </c>
      <c r="F113" s="466" t="str">
        <f t="shared" si="2"/>
        <v>-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 t="e">
        <f>AVERAGE(E108:E113)</f>
        <v>#DIV/0!</v>
      </c>
      <c r="F115" s="468" t="e">
        <f>AVERAGE(F108:F113)</f>
        <v>#DIV/0!</v>
      </c>
    </row>
    <row r="116" spans="1:10" ht="27" customHeight="1" x14ac:dyDescent="0.4">
      <c r="A116" s="311" t="s">
        <v>103</v>
      </c>
      <c r="B116" s="343" t="e">
        <f>(B115/B114)*(B113/B112)*(B111/B110)*(B109/B108)*B107</f>
        <v>#DIV/0!</v>
      </c>
      <c r="C116" s="421"/>
      <c r="D116" s="445" t="s">
        <v>84</v>
      </c>
      <c r="E116" s="443" t="e">
        <f>STDEV(E108:E113)/E115</f>
        <v>#DIV/0!</v>
      </c>
      <c r="F116" s="422" t="e">
        <f>STDEV(F108:F113)/F115</f>
        <v>#DIV/0!</v>
      </c>
      <c r="I116" s="285"/>
    </row>
    <row r="117" spans="1:10" ht="27" customHeight="1" x14ac:dyDescent="0.4">
      <c r="A117" s="502" t="s">
        <v>78</v>
      </c>
      <c r="B117" s="503"/>
      <c r="C117" s="423"/>
      <c r="D117" s="382" t="s">
        <v>20</v>
      </c>
      <c r="E117" s="448">
        <f>COUNT(E108:E113)</f>
        <v>0</v>
      </c>
      <c r="F117" s="449">
        <f>COUNT(F108:F113)</f>
        <v>0</v>
      </c>
      <c r="I117" s="285"/>
      <c r="J117" s="416"/>
    </row>
    <row r="118" spans="1:10" ht="26.25" customHeight="1" x14ac:dyDescent="0.3">
      <c r="A118" s="504"/>
      <c r="B118" s="505"/>
      <c r="C118" s="285"/>
      <c r="D118" s="447"/>
      <c r="E118" s="482" t="s">
        <v>123</v>
      </c>
      <c r="F118" s="483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0</v>
      </c>
      <c r="F119" s="469">
        <f>MIN(F108:F113)</f>
        <v>0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0</v>
      </c>
      <c r="F120" s="470">
        <f>MAX(F108:F113)</f>
        <v>0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14" t="str">
        <f>B26</f>
        <v>Lamivudine</v>
      </c>
      <c r="D124" s="514"/>
      <c r="E124" s="385" t="s">
        <v>127</v>
      </c>
      <c r="F124" s="385"/>
      <c r="G124" s="471" t="e">
        <f>F115</f>
        <v>#DIV/0!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0</v>
      </c>
      <c r="E125" s="396" t="s">
        <v>130</v>
      </c>
      <c r="F125" s="471">
        <f>MAX(F108:F113)</f>
        <v>0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5" t="s">
        <v>26</v>
      </c>
      <c r="C127" s="515"/>
      <c r="E127" s="391" t="s">
        <v>27</v>
      </c>
      <c r="F127" s="426"/>
      <c r="G127" s="515" t="s">
        <v>28</v>
      </c>
      <c r="H127" s="515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workbookViewId="0">
      <selection activeCell="D24" sqref="D24:D29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07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24.14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B20/50*10/100</f>
        <v>4.8280000000000003E-2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7159665</v>
      </c>
      <c r="C24" s="18">
        <v>5319</v>
      </c>
      <c r="D24" s="19">
        <v>1.1000000000000001</v>
      </c>
      <c r="E24" s="20">
        <v>2.8</v>
      </c>
    </row>
    <row r="25" spans="1:5" ht="16.5" customHeight="1" x14ac:dyDescent="0.3">
      <c r="A25" s="17">
        <v>2</v>
      </c>
      <c r="B25" s="18">
        <v>7182417</v>
      </c>
      <c r="C25" s="18">
        <v>5328.7</v>
      </c>
      <c r="D25" s="19">
        <v>1.1000000000000001</v>
      </c>
      <c r="E25" s="19">
        <v>2.8</v>
      </c>
    </row>
    <row r="26" spans="1:5" ht="16.5" customHeight="1" x14ac:dyDescent="0.3">
      <c r="A26" s="17">
        <v>3</v>
      </c>
      <c r="B26" s="18">
        <v>7200656</v>
      </c>
      <c r="C26" s="18">
        <v>5349.2</v>
      </c>
      <c r="D26" s="19">
        <v>1.2</v>
      </c>
      <c r="E26" s="19">
        <v>2.8</v>
      </c>
    </row>
    <row r="27" spans="1:5" ht="16.5" customHeight="1" x14ac:dyDescent="0.3">
      <c r="A27" s="17">
        <v>4</v>
      </c>
      <c r="B27" s="18">
        <v>7208497</v>
      </c>
      <c r="C27" s="18">
        <v>5363.4</v>
      </c>
      <c r="D27" s="19">
        <v>1.2</v>
      </c>
      <c r="E27" s="19">
        <v>2.8</v>
      </c>
    </row>
    <row r="28" spans="1:5" ht="16.5" customHeight="1" x14ac:dyDescent="0.3">
      <c r="A28" s="17">
        <v>5</v>
      </c>
      <c r="B28" s="18">
        <v>7189030</v>
      </c>
      <c r="C28" s="18">
        <v>5360.7</v>
      </c>
      <c r="D28" s="19">
        <v>1.2</v>
      </c>
      <c r="E28" s="19">
        <v>2.8</v>
      </c>
    </row>
    <row r="29" spans="1:5" ht="16.5" customHeight="1" x14ac:dyDescent="0.3">
      <c r="A29" s="17">
        <v>6</v>
      </c>
      <c r="B29" s="21">
        <v>7183208</v>
      </c>
      <c r="C29" s="21">
        <v>5383.4</v>
      </c>
      <c r="D29" s="22">
        <v>1.2</v>
      </c>
      <c r="E29" s="22">
        <v>2.8</v>
      </c>
    </row>
    <row r="30" spans="1:5" ht="16.5" customHeight="1" x14ac:dyDescent="0.3">
      <c r="A30" s="23" t="s">
        <v>18</v>
      </c>
      <c r="B30" s="24">
        <f>AVERAGE(B24:B29)</f>
        <v>7187245.5</v>
      </c>
      <c r="C30" s="25">
        <f>AVERAGE(C24:C29)</f>
        <v>5350.7333333333336</v>
      </c>
      <c r="D30" s="26">
        <f>AVERAGE(D24:D29)</f>
        <v>1.1666666666666667</v>
      </c>
      <c r="E30" s="26">
        <f>AVERAGE(E24:E29)</f>
        <v>2.8000000000000003</v>
      </c>
    </row>
    <row r="31" spans="1:5" ht="16.5" customHeight="1" x14ac:dyDescent="0.3">
      <c r="A31" s="27" t="s">
        <v>19</v>
      </c>
      <c r="B31" s="28">
        <f>(STDEV(B24:B29)/B30)</f>
        <v>2.3570630803610459E-3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abacavir</vt:lpstr>
      <vt:lpstr>Uniformity</vt:lpstr>
      <vt:lpstr>Abacavir</vt:lpstr>
      <vt:lpstr>Lamivudine</vt:lpstr>
      <vt:lpstr>sst lamivudine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Kwena</cp:lastModifiedBy>
  <cp:lastPrinted>2016-12-15T12:53:10Z</cp:lastPrinted>
  <dcterms:created xsi:type="dcterms:W3CDTF">2005-07-05T10:19:27Z</dcterms:created>
  <dcterms:modified xsi:type="dcterms:W3CDTF">2017-06-29T09:08:41Z</dcterms:modified>
  <cp:category/>
</cp:coreProperties>
</file>