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Uniformity" sheetId="2" r:id="rId1"/>
    <sheet name="SST Lopinavir" sheetId="5" r:id="rId2"/>
    <sheet name="SST Ritonavir" sheetId="6" r:id="rId3"/>
    <sheet name="Lopinavir" sheetId="3" r:id="rId4"/>
    <sheet name="Ritonavir" sheetId="4" r:id="rId5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B53" i="6"/>
  <c r="F51" i="6"/>
  <c r="D51" i="6"/>
  <c r="C51" i="6"/>
  <c r="B51" i="6"/>
  <c r="B52" i="6" s="1"/>
  <c r="B32" i="6"/>
  <c r="F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F45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B30" i="3"/>
  <c r="D49" i="2"/>
  <c r="C46" i="2"/>
  <c r="B57" i="4" s="1"/>
  <c r="C45" i="2"/>
  <c r="D40" i="2"/>
  <c r="D36" i="2"/>
  <c r="D32" i="2"/>
  <c r="D29" i="2"/>
  <c r="D28" i="2"/>
  <c r="D25" i="2"/>
  <c r="D24" i="2"/>
  <c r="C19" i="2"/>
  <c r="F97" i="3" l="1"/>
  <c r="F98" i="3" s="1"/>
  <c r="F99" i="3" s="1"/>
  <c r="D101" i="3"/>
  <c r="D102" i="3" s="1"/>
  <c r="I92" i="3"/>
  <c r="I92" i="4"/>
  <c r="D101" i="4"/>
  <c r="D102" i="4" s="1"/>
  <c r="F97" i="4"/>
  <c r="F98" i="4" s="1"/>
  <c r="I39" i="4"/>
  <c r="B69" i="4"/>
  <c r="F46" i="4"/>
  <c r="D49" i="4"/>
  <c r="D45" i="4"/>
  <c r="D46" i="4" s="1"/>
  <c r="B69" i="3"/>
  <c r="I39" i="3"/>
  <c r="D98" i="3"/>
  <c r="D99" i="3" s="1"/>
  <c r="D49" i="3"/>
  <c r="E41" i="4"/>
  <c r="G39" i="4"/>
  <c r="E39" i="4"/>
  <c r="G41" i="4"/>
  <c r="G40" i="4"/>
  <c r="D98" i="4"/>
  <c r="E93" i="4" s="1"/>
  <c r="G94" i="3"/>
  <c r="G38" i="4"/>
  <c r="D44" i="3"/>
  <c r="D45" i="3" s="1"/>
  <c r="F44" i="3"/>
  <c r="F45" i="3" s="1"/>
  <c r="G38" i="3" s="1"/>
  <c r="E40" i="4"/>
  <c r="D27" i="2"/>
  <c r="D31" i="2"/>
  <c r="D35" i="2"/>
  <c r="D39" i="2"/>
  <c r="D43" i="2"/>
  <c r="C49" i="2"/>
  <c r="D33" i="2"/>
  <c r="D37" i="2"/>
  <c r="D41" i="2"/>
  <c r="C50" i="2"/>
  <c r="D26" i="2"/>
  <c r="D30" i="2"/>
  <c r="D34" i="2"/>
  <c r="D38" i="2"/>
  <c r="D42" i="2"/>
  <c r="B49" i="2"/>
  <c r="D50" i="2"/>
  <c r="G93" i="3" l="1"/>
  <c r="G92" i="3"/>
  <c r="G91" i="3"/>
  <c r="F99" i="4"/>
  <c r="G92" i="4"/>
  <c r="G93" i="4"/>
  <c r="G94" i="4"/>
  <c r="G91" i="4"/>
  <c r="G42" i="4"/>
  <c r="E38" i="4"/>
  <c r="E42" i="4" s="1"/>
  <c r="G40" i="3"/>
  <c r="E93" i="3"/>
  <c r="E92" i="3"/>
  <c r="G41" i="3"/>
  <c r="E91" i="3"/>
  <c r="E94" i="3"/>
  <c r="D46" i="3"/>
  <c r="E41" i="3"/>
  <c r="E92" i="4"/>
  <c r="D99" i="4"/>
  <c r="E38" i="3"/>
  <c r="E94" i="4"/>
  <c r="E40" i="3"/>
  <c r="G39" i="3"/>
  <c r="F46" i="3"/>
  <c r="E91" i="4"/>
  <c r="D52" i="4"/>
  <c r="D50" i="4"/>
  <c r="E39" i="3"/>
  <c r="G95" i="3" l="1"/>
  <c r="E95" i="3"/>
  <c r="G95" i="4"/>
  <c r="D105" i="3"/>
  <c r="D103" i="3"/>
  <c r="D104" i="3" s="1"/>
  <c r="G42" i="3"/>
  <c r="D51" i="4"/>
  <c r="G70" i="4"/>
  <c r="H70" i="4" s="1"/>
  <c r="G65" i="4"/>
  <c r="H65" i="4" s="1"/>
  <c r="G61" i="4"/>
  <c r="H6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67" i="4"/>
  <c r="H67" i="4" s="1"/>
  <c r="G63" i="4"/>
  <c r="H63" i="4" s="1"/>
  <c r="G68" i="4"/>
  <c r="H68" i="4" s="1"/>
  <c r="D50" i="3"/>
  <c r="E42" i="3"/>
  <c r="D52" i="3"/>
  <c r="D103" i="4"/>
  <c r="D105" i="4"/>
  <c r="E95" i="4"/>
  <c r="E109" i="3" l="1"/>
  <c r="F109" i="3" s="1"/>
  <c r="E108" i="3"/>
  <c r="F108" i="3" s="1"/>
  <c r="E111" i="3"/>
  <c r="F111" i="3" s="1"/>
  <c r="E110" i="3"/>
  <c r="F110" i="3" s="1"/>
  <c r="E113" i="3"/>
  <c r="F113" i="3" s="1"/>
  <c r="E112" i="3"/>
  <c r="F112" i="3" s="1"/>
  <c r="G74" i="4"/>
  <c r="G72" i="4"/>
  <c r="G73" i="4" s="1"/>
  <c r="H60" i="4"/>
  <c r="E113" i="4"/>
  <c r="F113" i="4" s="1"/>
  <c r="E111" i="4"/>
  <c r="F111" i="4" s="1"/>
  <c r="E109" i="4"/>
  <c r="F109" i="4" s="1"/>
  <c r="D104" i="4"/>
  <c r="E108" i="4"/>
  <c r="E110" i="4"/>
  <c r="F110" i="4" s="1"/>
  <c r="E112" i="4"/>
  <c r="F112" i="4" s="1"/>
  <c r="G68" i="3"/>
  <c r="H68" i="3" s="1"/>
  <c r="G69" i="3"/>
  <c r="H69" i="3" s="1"/>
  <c r="G60" i="3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6" i="3"/>
  <c r="H66" i="3" s="1"/>
  <c r="G64" i="3"/>
  <c r="H64" i="3" s="1"/>
  <c r="G62" i="3"/>
  <c r="H62" i="3" s="1"/>
  <c r="D51" i="3"/>
  <c r="E117" i="3" l="1"/>
  <c r="E120" i="3"/>
  <c r="E119" i="3"/>
  <c r="E115" i="3"/>
  <c r="E116" i="3" s="1"/>
  <c r="F119" i="3"/>
  <c r="D125" i="3"/>
  <c r="F115" i="3"/>
  <c r="F125" i="3"/>
  <c r="F117" i="3"/>
  <c r="F120" i="3"/>
  <c r="H60" i="3"/>
  <c r="G74" i="3"/>
  <c r="G72" i="3"/>
  <c r="G73" i="3" s="1"/>
  <c r="H74" i="4"/>
  <c r="H72" i="4"/>
  <c r="E120" i="4"/>
  <c r="E119" i="4"/>
  <c r="E117" i="4"/>
  <c r="F108" i="4"/>
  <c r="E115" i="4"/>
  <c r="E116" i="4" s="1"/>
  <c r="F125" i="4" l="1"/>
  <c r="F120" i="4"/>
  <c r="F117" i="4"/>
  <c r="F115" i="4"/>
  <c r="D125" i="4"/>
  <c r="F119" i="4"/>
  <c r="G76" i="4"/>
  <c r="H73" i="4"/>
  <c r="G124" i="3"/>
  <c r="F116" i="3"/>
  <c r="H74" i="3"/>
  <c r="H72" i="3"/>
  <c r="G76" i="3" l="1"/>
  <c r="H73" i="3"/>
  <c r="G124" i="4"/>
  <c r="F116" i="4"/>
</calcChain>
</file>

<file path=xl/sharedStrings.xml><?xml version="1.0" encoding="utf-8"?>
<sst xmlns="http://schemas.openxmlformats.org/spreadsheetml/2006/main" count="452" uniqueCount="141">
  <si>
    <t>HPLC System Suitability Report</t>
  </si>
  <si>
    <t>Analysis Data</t>
  </si>
  <si>
    <t>Assay</t>
  </si>
  <si>
    <t>Sample(s)</t>
  </si>
  <si>
    <t>Reference Substance:</t>
  </si>
  <si>
    <t>LOPINAVIR AND RITONAVIR TABLETS 200 MG/ 50 MG</t>
  </si>
  <si>
    <t>% age Purity:</t>
  </si>
  <si>
    <t>NDQB201612275r1</t>
  </si>
  <si>
    <t>Weight (mg):</t>
  </si>
  <si>
    <t>LOPINAVIR and RITONAVIR TABLETS 200 mg/ 50 mg</t>
  </si>
  <si>
    <t>Standard Conc (mg/mL):</t>
  </si>
  <si>
    <t>Each film coated tablet contains Lopinavir 200 mg and Ritonavir USP 50 mg.</t>
  </si>
  <si>
    <t>2016-12-15 08:48:52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</si>
  <si>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</si>
  <si>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</si>
  <si>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</si>
  <si>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</si>
  <si>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</si>
  <si>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</si>
  <si>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</si>
  <si>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</si>
  <si>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</si>
  <si>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</si>
  <si>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</si>
  <si>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</si>
  <si>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</si>
  <si>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</si>
  <si>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</si>
  <si>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</si>
  <si>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</si>
  <si>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</si>
  <si>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</si>
  <si>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</si>
  <si>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</si>
  <si>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</si>
  <si>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</si>
  <si>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</si>
  <si>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</si>
  <si>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</si>
  <si>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</si>
  <si>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</si>
  <si>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</si>
  <si>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</si>
  <si>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</si>
  <si>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</si>
  <si>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</si>
  <si>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</si>
  <si>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</si>
  <si>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</si>
  <si>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</si>
  <si>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</si>
  <si>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</si>
  <si>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</si>
  <si>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</si>
  <si>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</si>
  <si>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</si>
  <si>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</si>
  <si>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</si>
  <si>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</si>
  <si>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</si>
  <si>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</si>
  <si>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</si>
  <si>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</si>
  <si>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</si>
  <si>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</si>
  <si>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</si>
  <si>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</si>
  <si>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</si>
  <si>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</si>
  <si>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</si>
  <si>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</si>
  <si>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</si>
  <si>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</si>
  <si>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</si>
  <si>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</si>
  <si>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</si>
  <si>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</si>
  <si>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</si>
  <si>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</si>
  <si>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</si>
  <si>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</si>
  <si>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</si>
  <si>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</si>
  <si>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</si>
  <si>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</si>
  <si>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</si>
  <si>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</si>
  <si>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</si>
  <si>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</si>
  <si>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</si>
  <si>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</si>
  <si>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</si>
  <si>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</si>
  <si>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</si>
  <si>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</si>
  <si>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</si>
  <si>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</si>
  <si>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</si>
  <si>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</si>
  <si>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</si>
  <si>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</si>
  <si>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</si>
  <si>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</si>
  <si>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</si>
  <si>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</si>
  <si>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</si>
  <si>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</si>
  <si>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</si>
  <si>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</si>
  <si>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</si>
  <si>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</si>
  <si>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</si>
  <si>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</si>
  <si>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</si>
  <si>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</si>
  <si>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</si>
  <si>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</si>
  <si>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</si>
  <si>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</si>
  <si>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</si>
  <si>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</si>
  <si>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</si>
  <si>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</si>
  <si>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</si>
  <si>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</si>
  <si>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</si>
  <si>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</si>
  <si>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</si>
  <si>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LOPINAVIR </t>
  </si>
  <si>
    <t>L20-2</t>
  </si>
  <si>
    <t xml:space="preserve"> RITONAVIR</t>
  </si>
  <si>
    <t>R14-2</t>
  </si>
  <si>
    <t>LOPINAVIR/ RITONAVIR TABLETS</t>
  </si>
  <si>
    <t xml:space="preserve">Lopinavir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</si>
  <si>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</si>
  <si>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</si>
  <si>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</si>
  <si>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Resolution between the peaks of Lopinavir and Ritonavir is </t>
    </r>
    <r>
      <rPr>
        <b/>
        <sz val="12"/>
        <color rgb="FF000000"/>
        <rFont val="Book Antiqua"/>
        <family val="1"/>
      </rPr>
      <t>NLT 2</t>
    </r>
  </si>
  <si>
    <t xml:space="preserve">Ritonavir </t>
  </si>
  <si>
    <t>Resolution(USP)</t>
  </si>
  <si>
    <t>The Resolution between the peaks of Lopinavir and Ritonavir is NLT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</si>
</sst>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4" fillId="2" borderId="0" xfId="1" applyFill="1"/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10" fontId="26" fillId="2" borderId="0" xfId="1" applyNumberFormat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4" t="s">
        <v>28</v>
      </c>
      <c r="B11" s="475"/>
      <c r="C11" s="475"/>
      <c r="D11" s="475"/>
      <c r="E11" s="475"/>
      <c r="F11" s="476"/>
      <c r="G11" s="43"/>
    </row>
    <row r="12" spans="1:7" ht="16.5" customHeight="1" x14ac:dyDescent="0.3">
      <c r="A12" s="473" t="s">
        <v>29</v>
      </c>
      <c r="B12" s="473"/>
      <c r="C12" s="473"/>
      <c r="D12" s="473"/>
      <c r="E12" s="473"/>
      <c r="F12" s="473"/>
      <c r="G12" s="42"/>
    </row>
    <row r="14" spans="1:7" ht="16.5" customHeight="1" x14ac:dyDescent="0.3">
      <c r="A14" s="478" t="s">
        <v>30</v>
      </c>
      <c r="B14" s="478"/>
      <c r="C14" s="12" t="s">
        <v>5</v>
      </c>
    </row>
    <row r="15" spans="1:7" ht="16.5" customHeight="1" x14ac:dyDescent="0.3">
      <c r="A15" s="478" t="s">
        <v>31</v>
      </c>
      <c r="B15" s="478"/>
      <c r="C15" s="12" t="s">
        <v>7</v>
      </c>
    </row>
    <row r="16" spans="1:7" ht="16.5" customHeight="1" x14ac:dyDescent="0.3">
      <c r="A16" s="478" t="s">
        <v>32</v>
      </c>
      <c r="B16" s="478"/>
      <c r="C16" s="12" t="s">
        <v>9</v>
      </c>
    </row>
    <row r="17" spans="1:5" ht="16.5" customHeight="1" x14ac:dyDescent="0.3">
      <c r="A17" s="478" t="s">
        <v>33</v>
      </c>
      <c r="B17" s="478"/>
      <c r="C17" s="12" t="s">
        <v>11</v>
      </c>
    </row>
    <row r="18" spans="1:5" ht="16.5" customHeight="1" x14ac:dyDescent="0.3">
      <c r="A18" s="478" t="s">
        <v>34</v>
      </c>
      <c r="B18" s="478"/>
      <c r="C18" s="49" t="s">
        <v>12</v>
      </c>
    </row>
    <row r="19" spans="1:5" ht="16.5" customHeight="1" x14ac:dyDescent="0.3">
      <c r="A19" s="478" t="s">
        <v>35</v>
      </c>
      <c r="B19" s="47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3" t="s">
        <v>1</v>
      </c>
      <c r="B21" s="473"/>
      <c r="C21" s="11" t="s">
        <v>36</v>
      </c>
      <c r="D21" s="18"/>
    </row>
    <row r="22" spans="1:5" ht="15.75" customHeight="1" x14ac:dyDescent="0.3">
      <c r="A22" s="477"/>
      <c r="B22" s="477"/>
      <c r="C22" s="9"/>
      <c r="D22" s="477"/>
      <c r="E22" s="477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1234.07</v>
      </c>
      <c r="D24" s="39">
        <f t="shared" ref="D24:D43" si="0">(C24-$C$46)/$C$46</f>
        <v>-1.9563523952794044E-2</v>
      </c>
      <c r="E24" s="5"/>
    </row>
    <row r="25" spans="1:5" ht="15.75" customHeight="1" x14ac:dyDescent="0.3">
      <c r="C25" s="47">
        <v>1236.99</v>
      </c>
      <c r="D25" s="40">
        <f t="shared" si="0"/>
        <v>-1.7243659998514373E-2</v>
      </c>
      <c r="E25" s="5"/>
    </row>
    <row r="26" spans="1:5" ht="15.75" customHeight="1" x14ac:dyDescent="0.3">
      <c r="C26" s="47">
        <v>1275.56</v>
      </c>
      <c r="D26" s="40">
        <f t="shared" si="0"/>
        <v>1.3399200520857033E-2</v>
      </c>
      <c r="E26" s="5"/>
    </row>
    <row r="27" spans="1:5" ht="15.75" customHeight="1" x14ac:dyDescent="0.3">
      <c r="C27" s="47">
        <v>1277.51</v>
      </c>
      <c r="D27" s="40">
        <f t="shared" si="0"/>
        <v>1.4948424736899961E-2</v>
      </c>
      <c r="E27" s="5"/>
    </row>
    <row r="28" spans="1:5" ht="15.75" customHeight="1" x14ac:dyDescent="0.3">
      <c r="C28" s="47">
        <v>1244.53</v>
      </c>
      <c r="D28" s="40">
        <f t="shared" si="0"/>
        <v>-1.1253326363148554E-2</v>
      </c>
      <c r="E28" s="5"/>
    </row>
    <row r="29" spans="1:5" ht="15.75" customHeight="1" x14ac:dyDescent="0.3">
      <c r="C29" s="47">
        <v>1256.51</v>
      </c>
      <c r="D29" s="40">
        <f t="shared" si="0"/>
        <v>-1.7355283589465679E-3</v>
      </c>
      <c r="E29" s="5"/>
    </row>
    <row r="30" spans="1:5" ht="15.75" customHeight="1" x14ac:dyDescent="0.3">
      <c r="C30" s="47">
        <v>1262.4100000000001</v>
      </c>
      <c r="D30" s="40">
        <f t="shared" si="0"/>
        <v>2.9518679870294338E-3</v>
      </c>
      <c r="E30" s="5"/>
    </row>
    <row r="31" spans="1:5" ht="15.75" customHeight="1" x14ac:dyDescent="0.3">
      <c r="C31" s="47">
        <v>1258.0999999999999</v>
      </c>
      <c r="D31" s="40">
        <f t="shared" si="0"/>
        <v>-4.7231476740396719E-4</v>
      </c>
      <c r="E31" s="5"/>
    </row>
    <row r="32" spans="1:5" ht="15.75" customHeight="1" x14ac:dyDescent="0.3">
      <c r="C32" s="47">
        <v>1270.76</v>
      </c>
      <c r="D32" s="40">
        <f t="shared" si="0"/>
        <v>9.5857255275207196E-3</v>
      </c>
      <c r="E32" s="5"/>
    </row>
    <row r="33" spans="1:7" ht="15.75" customHeight="1" x14ac:dyDescent="0.3">
      <c r="C33" s="47">
        <v>1234.82</v>
      </c>
      <c r="D33" s="40">
        <f t="shared" si="0"/>
        <v>-1.8967668485085239E-2</v>
      </c>
      <c r="E33" s="5"/>
    </row>
    <row r="34" spans="1:7" ht="15.75" customHeight="1" x14ac:dyDescent="0.3">
      <c r="C34" s="47">
        <v>1258.0899999999999</v>
      </c>
      <c r="D34" s="40">
        <f t="shared" si="0"/>
        <v>-4.802595069734107E-4</v>
      </c>
      <c r="E34" s="5"/>
    </row>
    <row r="35" spans="1:7" ht="15.75" customHeight="1" x14ac:dyDescent="0.3">
      <c r="C35" s="47">
        <v>1256.96</v>
      </c>
      <c r="D35" s="40">
        <f t="shared" si="0"/>
        <v>-1.378015078321249E-3</v>
      </c>
      <c r="E35" s="5"/>
    </row>
    <row r="36" spans="1:7" ht="15.75" customHeight="1" x14ac:dyDescent="0.3">
      <c r="C36" s="47">
        <v>1245.33</v>
      </c>
      <c r="D36" s="40">
        <f t="shared" si="0"/>
        <v>-1.0617747197592533E-2</v>
      </c>
      <c r="E36" s="5"/>
    </row>
    <row r="37" spans="1:7" ht="15.75" customHeight="1" x14ac:dyDescent="0.3">
      <c r="C37" s="47">
        <v>1262.05</v>
      </c>
      <c r="D37" s="40">
        <f t="shared" si="0"/>
        <v>2.6658573625291068E-3</v>
      </c>
      <c r="E37" s="5"/>
    </row>
    <row r="38" spans="1:7" ht="15.75" customHeight="1" x14ac:dyDescent="0.3">
      <c r="C38" s="47">
        <v>1271.6600000000001</v>
      </c>
      <c r="D38" s="40">
        <f t="shared" si="0"/>
        <v>1.0300752088771358E-2</v>
      </c>
      <c r="E38" s="5"/>
    </row>
    <row r="39" spans="1:7" ht="15.75" customHeight="1" x14ac:dyDescent="0.3">
      <c r="C39" s="47">
        <v>1273.46</v>
      </c>
      <c r="D39" s="40">
        <f t="shared" si="0"/>
        <v>1.1730805211272453E-2</v>
      </c>
      <c r="E39" s="5"/>
    </row>
    <row r="40" spans="1:7" ht="15.75" customHeight="1" x14ac:dyDescent="0.3">
      <c r="C40" s="47">
        <v>1263.6300000000001</v>
      </c>
      <c r="D40" s="40">
        <f t="shared" si="0"/>
        <v>3.9211262145024441E-3</v>
      </c>
      <c r="E40" s="5"/>
    </row>
    <row r="41" spans="1:7" ht="15.75" customHeight="1" x14ac:dyDescent="0.3">
      <c r="C41" s="47">
        <v>1250.1500000000001</v>
      </c>
      <c r="D41" s="40">
        <f t="shared" si="0"/>
        <v>-6.7883827251171511E-3</v>
      </c>
      <c r="E41" s="5"/>
    </row>
    <row r="42" spans="1:7" ht="15.75" customHeight="1" x14ac:dyDescent="0.3">
      <c r="C42" s="47">
        <v>1278.46</v>
      </c>
      <c r="D42" s="40">
        <f t="shared" si="0"/>
        <v>1.5703174995997816E-2</v>
      </c>
      <c r="E42" s="5"/>
    </row>
    <row r="43" spans="1:7" ht="16.5" customHeight="1" x14ac:dyDescent="0.3">
      <c r="C43" s="48">
        <v>1262.8399999999999</v>
      </c>
      <c r="D43" s="41">
        <f t="shared" si="0"/>
        <v>3.293491788515685E-3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25173.890000000003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1258.6945000000001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71">
        <f>C46</f>
        <v>1258.6945000000001</v>
      </c>
      <c r="C49" s="45">
        <f>-IF(C46&lt;=80,10%,IF(C46&lt;250,7.5%,5%))</f>
        <v>-0.05</v>
      </c>
      <c r="D49" s="33">
        <f>IF(C46&lt;=80,C46*0.9,IF(C46&lt;250,C46*0.925,C46*0.95))</f>
        <v>1195.759775</v>
      </c>
    </row>
    <row r="50" spans="1:6" ht="17.25" customHeight="1" x14ac:dyDescent="0.3">
      <c r="B50" s="472"/>
      <c r="C50" s="46">
        <f>IF(C46&lt;=80, 10%, IF(C46&lt;250, 7.5%, 5%))</f>
        <v>0.05</v>
      </c>
      <c r="D50" s="33">
        <f>IF(C46&lt;=80, C46*1.1, IF(C46&lt;250, C46*1.075, C46*1.05))</f>
        <v>1321.6292250000001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22" sqref="B22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4" width="25.85546875" style="425" customWidth="1"/>
    <col min="5" max="5" width="25.7109375" style="425" customWidth="1"/>
    <col min="6" max="6" width="23.140625" style="425" customWidth="1"/>
    <col min="7" max="7" width="28.42578125" style="425" customWidth="1"/>
    <col min="8" max="8" width="21.5703125" style="425" customWidth="1"/>
    <col min="9" max="9" width="9.140625" style="425" customWidth="1"/>
    <col min="10" max="16384" width="9.140625" style="427"/>
  </cols>
  <sheetData>
    <row r="14" spans="1:6" ht="15" customHeight="1" x14ac:dyDescent="0.3">
      <c r="A14" s="424"/>
      <c r="C14" s="426"/>
      <c r="F14" s="426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28" t="s">
        <v>1</v>
      </c>
      <c r="B16" s="429" t="s">
        <v>2</v>
      </c>
    </row>
    <row r="17" spans="1:5" ht="16.5" customHeight="1" x14ac:dyDescent="0.3">
      <c r="A17" s="430" t="s">
        <v>3</v>
      </c>
      <c r="B17" s="430" t="s">
        <v>132</v>
      </c>
      <c r="D17" s="431"/>
      <c r="E17" s="432"/>
    </row>
    <row r="18" spans="1:5" ht="16.5" customHeight="1" x14ac:dyDescent="0.3">
      <c r="A18" s="433" t="s">
        <v>4</v>
      </c>
      <c r="B18" s="430" t="s">
        <v>133</v>
      </c>
      <c r="C18" s="432"/>
      <c r="D18" s="432"/>
      <c r="E18" s="432"/>
    </row>
    <row r="19" spans="1:5" ht="16.5" customHeight="1" x14ac:dyDescent="0.3">
      <c r="A19" s="433" t="s">
        <v>6</v>
      </c>
      <c r="B19" s="434">
        <v>99.8</v>
      </c>
      <c r="C19" s="432"/>
      <c r="D19" s="432"/>
      <c r="E19" s="432"/>
    </row>
    <row r="20" spans="1:5" ht="16.5" customHeight="1" x14ac:dyDescent="0.3">
      <c r="A20" s="430" t="s">
        <v>8</v>
      </c>
      <c r="B20" s="434">
        <v>18.07</v>
      </c>
      <c r="C20" s="432"/>
      <c r="D20" s="432"/>
      <c r="E20" s="432"/>
    </row>
    <row r="21" spans="1:5" ht="16.5" customHeight="1" x14ac:dyDescent="0.3">
      <c r="A21" s="430" t="s">
        <v>10</v>
      </c>
      <c r="B21" s="435">
        <f>18.07/20</f>
        <v>0.90349999999999997</v>
      </c>
      <c r="C21" s="432"/>
      <c r="D21" s="432"/>
      <c r="E21" s="432"/>
    </row>
    <row r="22" spans="1:5" ht="15.75" customHeight="1" x14ac:dyDescent="0.25">
      <c r="A22" s="432"/>
      <c r="B22" s="432"/>
      <c r="C22" s="432"/>
      <c r="D22" s="432"/>
      <c r="E22" s="432"/>
    </row>
    <row r="23" spans="1:5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17</v>
      </c>
    </row>
    <row r="24" spans="1:5" ht="16.5" customHeight="1" x14ac:dyDescent="0.3">
      <c r="A24" s="438">
        <v>1</v>
      </c>
      <c r="B24" s="439">
        <v>53706861</v>
      </c>
      <c r="C24" s="439">
        <v>3728.77</v>
      </c>
      <c r="D24" s="440">
        <v>0.85</v>
      </c>
      <c r="E24" s="441">
        <v>5.57</v>
      </c>
    </row>
    <row r="25" spans="1:5" ht="16.5" customHeight="1" x14ac:dyDescent="0.3">
      <c r="A25" s="438">
        <v>2</v>
      </c>
      <c r="B25" s="439">
        <v>53910884</v>
      </c>
      <c r="C25" s="439">
        <v>3712.96</v>
      </c>
      <c r="D25" s="440">
        <v>0.84</v>
      </c>
      <c r="E25" s="440">
        <v>5.58</v>
      </c>
    </row>
    <row r="26" spans="1:5" ht="16.5" customHeight="1" x14ac:dyDescent="0.3">
      <c r="A26" s="438">
        <v>3</v>
      </c>
      <c r="B26" s="439">
        <v>53911233</v>
      </c>
      <c r="C26" s="439">
        <v>3680.94</v>
      </c>
      <c r="D26" s="440">
        <v>0.85</v>
      </c>
      <c r="E26" s="440">
        <v>5.58</v>
      </c>
    </row>
    <row r="27" spans="1:5" ht="16.5" customHeight="1" x14ac:dyDescent="0.3">
      <c r="A27" s="438">
        <v>4</v>
      </c>
      <c r="B27" s="439">
        <v>53921585</v>
      </c>
      <c r="C27" s="439">
        <v>3687.73</v>
      </c>
      <c r="D27" s="440">
        <v>0.84</v>
      </c>
      <c r="E27" s="440">
        <v>5.58</v>
      </c>
    </row>
    <row r="28" spans="1:5" ht="16.5" customHeight="1" x14ac:dyDescent="0.3">
      <c r="A28" s="438">
        <v>5</v>
      </c>
      <c r="B28" s="439">
        <v>53913907</v>
      </c>
      <c r="C28" s="439">
        <v>3702.09</v>
      </c>
      <c r="D28" s="440">
        <v>0.84</v>
      </c>
      <c r="E28" s="440">
        <v>5.58</v>
      </c>
    </row>
    <row r="29" spans="1:5" ht="16.5" customHeight="1" x14ac:dyDescent="0.3">
      <c r="A29" s="438">
        <v>6</v>
      </c>
      <c r="B29" s="442">
        <v>53848158</v>
      </c>
      <c r="C29" s="442">
        <v>3718.53</v>
      </c>
      <c r="D29" s="443">
        <v>0.85</v>
      </c>
      <c r="E29" s="443">
        <v>5.58</v>
      </c>
    </row>
    <row r="30" spans="1:5" ht="16.5" customHeight="1" x14ac:dyDescent="0.3">
      <c r="A30" s="444" t="s">
        <v>18</v>
      </c>
      <c r="B30" s="445">
        <f>AVERAGE(B24:B29)</f>
        <v>53868771.333333336</v>
      </c>
      <c r="C30" s="446">
        <f>AVERAGE(C24:C29)</f>
        <v>3705.1699999999996</v>
      </c>
      <c r="D30" s="447">
        <f>AVERAGE(D24:D29)</f>
        <v>0.84499999999999986</v>
      </c>
      <c r="E30" s="447">
        <f>AVERAGE(E24:E29)</f>
        <v>5.5783333333333331</v>
      </c>
    </row>
    <row r="31" spans="1:5" ht="16.5" customHeight="1" x14ac:dyDescent="0.3">
      <c r="A31" s="448" t="s">
        <v>19</v>
      </c>
      <c r="B31" s="449">
        <f>(STDEV(B24:B29)/B30)</f>
        <v>1.554095203672127E-3</v>
      </c>
      <c r="C31" s="450"/>
      <c r="D31" s="450"/>
      <c r="E31" s="451"/>
    </row>
    <row r="32" spans="1:5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6"/>
    </row>
    <row r="33" spans="1:5" s="425" customFormat="1" ht="15.75" customHeight="1" x14ac:dyDescent="0.25">
      <c r="A33" s="432"/>
      <c r="B33" s="432"/>
      <c r="C33" s="432"/>
      <c r="D33" s="432"/>
      <c r="E33" s="432"/>
    </row>
    <row r="34" spans="1:5" s="425" customFormat="1" ht="16.5" customHeight="1" x14ac:dyDescent="0.3">
      <c r="A34" s="433" t="s">
        <v>21</v>
      </c>
      <c r="B34" s="457" t="s">
        <v>134</v>
      </c>
      <c r="C34" s="458"/>
      <c r="D34" s="458"/>
      <c r="E34" s="458"/>
    </row>
    <row r="35" spans="1:5" ht="16.5" customHeight="1" x14ac:dyDescent="0.3">
      <c r="A35" s="433"/>
      <c r="B35" s="457" t="s">
        <v>135</v>
      </c>
      <c r="C35" s="458"/>
      <c r="D35" s="458"/>
      <c r="E35" s="458"/>
    </row>
    <row r="36" spans="1:5" ht="16.5" customHeight="1" x14ac:dyDescent="0.3">
      <c r="A36" s="433"/>
      <c r="B36" s="457" t="s">
        <v>136</v>
      </c>
      <c r="C36" s="458"/>
      <c r="D36" s="458"/>
      <c r="E36" s="458"/>
    </row>
    <row r="37" spans="1:5" ht="15.75" customHeight="1" x14ac:dyDescent="0.3">
      <c r="A37" s="432"/>
      <c r="B37" s="432" t="s">
        <v>137</v>
      </c>
      <c r="C37" s="432"/>
      <c r="D37" s="432"/>
      <c r="E37" s="432"/>
    </row>
    <row r="38" spans="1:5" ht="16.5" customHeight="1" x14ac:dyDescent="0.3">
      <c r="A38" s="428" t="s">
        <v>1</v>
      </c>
      <c r="B38" s="429" t="s">
        <v>22</v>
      </c>
    </row>
    <row r="39" spans="1:5" ht="16.5" customHeight="1" x14ac:dyDescent="0.3">
      <c r="A39" s="433" t="s">
        <v>4</v>
      </c>
      <c r="B39" s="430"/>
      <c r="C39" s="432"/>
      <c r="D39" s="432"/>
      <c r="E39" s="432"/>
    </row>
    <row r="40" spans="1:5" ht="16.5" customHeight="1" x14ac:dyDescent="0.3">
      <c r="A40" s="433" t="s">
        <v>6</v>
      </c>
      <c r="B40" s="434"/>
      <c r="C40" s="432"/>
      <c r="D40" s="432"/>
      <c r="E40" s="432"/>
    </row>
    <row r="41" spans="1:5" ht="16.5" customHeight="1" x14ac:dyDescent="0.3">
      <c r="A41" s="430" t="s">
        <v>8</v>
      </c>
      <c r="B41" s="434"/>
      <c r="C41" s="432"/>
      <c r="D41" s="432"/>
      <c r="E41" s="432"/>
    </row>
    <row r="42" spans="1:5" ht="16.5" customHeight="1" x14ac:dyDescent="0.3">
      <c r="A42" s="430" t="s">
        <v>10</v>
      </c>
      <c r="B42" s="435"/>
      <c r="C42" s="432"/>
      <c r="D42" s="432"/>
      <c r="E42" s="432"/>
    </row>
    <row r="43" spans="1:5" ht="15.75" customHeight="1" x14ac:dyDescent="0.25">
      <c r="A43" s="432"/>
      <c r="B43" s="432"/>
      <c r="C43" s="432"/>
      <c r="D43" s="432"/>
      <c r="E43" s="432"/>
    </row>
    <row r="44" spans="1:5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17</v>
      </c>
    </row>
    <row r="45" spans="1:5" ht="16.5" customHeight="1" x14ac:dyDescent="0.3">
      <c r="A45" s="438">
        <v>1</v>
      </c>
      <c r="B45" s="439"/>
      <c r="C45" s="439"/>
      <c r="D45" s="440"/>
      <c r="E45" s="441"/>
    </row>
    <row r="46" spans="1:5" ht="16.5" customHeight="1" x14ac:dyDescent="0.3">
      <c r="A46" s="438">
        <v>2</v>
      </c>
      <c r="B46" s="439"/>
      <c r="C46" s="439"/>
      <c r="D46" s="440"/>
      <c r="E46" s="440"/>
    </row>
    <row r="47" spans="1:5" ht="16.5" customHeight="1" x14ac:dyDescent="0.3">
      <c r="A47" s="438">
        <v>3</v>
      </c>
      <c r="B47" s="439"/>
      <c r="C47" s="439"/>
      <c r="D47" s="440"/>
      <c r="E47" s="440"/>
    </row>
    <row r="48" spans="1:5" ht="16.5" customHeight="1" x14ac:dyDescent="0.3">
      <c r="A48" s="438">
        <v>4</v>
      </c>
      <c r="B48" s="439"/>
      <c r="C48" s="439"/>
      <c r="D48" s="440"/>
      <c r="E48" s="440"/>
    </row>
    <row r="49" spans="1:7" ht="16.5" customHeight="1" x14ac:dyDescent="0.3">
      <c r="A49" s="438">
        <v>5</v>
      </c>
      <c r="B49" s="439"/>
      <c r="C49" s="439"/>
      <c r="D49" s="440"/>
      <c r="E49" s="440"/>
    </row>
    <row r="50" spans="1:7" ht="16.5" customHeight="1" x14ac:dyDescent="0.3">
      <c r="A50" s="438">
        <v>6</v>
      </c>
      <c r="B50" s="442"/>
      <c r="C50" s="442"/>
      <c r="D50" s="443"/>
      <c r="E50" s="443"/>
    </row>
    <row r="51" spans="1:7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 t="e">
        <f>AVERAGE(E45:E50)</f>
        <v>#DIV/0!</v>
      </c>
    </row>
    <row r="52" spans="1:7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1"/>
    </row>
    <row r="53" spans="1:7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6"/>
    </row>
    <row r="54" spans="1:7" s="425" customFormat="1" ht="15.75" customHeight="1" x14ac:dyDescent="0.25">
      <c r="A54" s="432"/>
      <c r="B54" s="432"/>
      <c r="C54" s="432"/>
      <c r="D54" s="432"/>
      <c r="E54" s="432"/>
    </row>
    <row r="55" spans="1:7" s="425" customFormat="1" ht="16.5" customHeight="1" x14ac:dyDescent="0.3">
      <c r="A55" s="433" t="s">
        <v>21</v>
      </c>
      <c r="B55" s="457" t="s">
        <v>134</v>
      </c>
      <c r="C55" s="458"/>
      <c r="D55" s="458"/>
      <c r="E55" s="458"/>
    </row>
    <row r="56" spans="1:7" ht="16.5" customHeight="1" x14ac:dyDescent="0.3">
      <c r="A56" s="433"/>
      <c r="B56" s="457" t="s">
        <v>135</v>
      </c>
      <c r="C56" s="458"/>
      <c r="D56" s="458"/>
      <c r="E56" s="458"/>
    </row>
    <row r="57" spans="1:7" ht="16.5" customHeight="1" x14ac:dyDescent="0.3">
      <c r="A57" s="433"/>
      <c r="B57" s="457" t="s">
        <v>136</v>
      </c>
      <c r="C57" s="458"/>
      <c r="D57" s="458"/>
      <c r="E57" s="458"/>
    </row>
    <row r="58" spans="1:7" ht="14.25" customHeight="1" thickBot="1" x14ac:dyDescent="0.3">
      <c r="A58" s="459"/>
      <c r="B58" s="460"/>
      <c r="D58" s="461"/>
      <c r="F58" s="427"/>
      <c r="G58" s="427"/>
    </row>
    <row r="59" spans="1:7" ht="15" customHeight="1" x14ac:dyDescent="0.3">
      <c r="B59" s="470" t="s">
        <v>23</v>
      </c>
      <c r="C59" s="470"/>
      <c r="E59" s="462" t="s">
        <v>24</v>
      </c>
      <c r="F59" s="463"/>
      <c r="G59" s="462" t="s">
        <v>25</v>
      </c>
    </row>
    <row r="60" spans="1:7" ht="15" customHeight="1" x14ac:dyDescent="0.3">
      <c r="A60" s="464" t="s">
        <v>26</v>
      </c>
      <c r="B60" s="465"/>
      <c r="C60" s="465"/>
      <c r="E60" s="465"/>
      <c r="G60" s="465"/>
    </row>
    <row r="61" spans="1:7" ht="15" customHeight="1" x14ac:dyDescent="0.3">
      <c r="A61" s="464" t="s">
        <v>27</v>
      </c>
      <c r="B61" s="466"/>
      <c r="C61" s="466"/>
      <c r="E61" s="466"/>
      <c r="G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3" workbookViewId="0">
      <selection activeCell="D37" sqref="D37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469" t="s">
        <v>0</v>
      </c>
      <c r="B15" s="469"/>
      <c r="C15" s="469"/>
      <c r="D15" s="469"/>
      <c r="E15" s="469"/>
      <c r="F15" s="469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132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138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99.4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11.16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11.16/25*10/20</f>
        <v>0.22320000000000001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139</v>
      </c>
      <c r="F23" s="436" t="s">
        <v>17</v>
      </c>
    </row>
    <row r="24" spans="1:6" ht="16.5" customHeight="1" x14ac:dyDescent="0.3">
      <c r="A24" s="438">
        <v>1</v>
      </c>
      <c r="B24" s="439">
        <v>12884223</v>
      </c>
      <c r="C24" s="439">
        <v>5225.71</v>
      </c>
      <c r="D24" s="440">
        <v>0.95</v>
      </c>
      <c r="E24" s="440">
        <v>4.74</v>
      </c>
      <c r="F24" s="441">
        <v>7.41</v>
      </c>
    </row>
    <row r="25" spans="1:6" ht="16.5" customHeight="1" x14ac:dyDescent="0.3">
      <c r="A25" s="438">
        <v>2</v>
      </c>
      <c r="B25" s="439">
        <v>12919354</v>
      </c>
      <c r="C25" s="439">
        <v>5215.75</v>
      </c>
      <c r="D25" s="440">
        <v>0.94</v>
      </c>
      <c r="E25" s="440">
        <v>4.74</v>
      </c>
      <c r="F25" s="440">
        <v>7.42</v>
      </c>
    </row>
    <row r="26" spans="1:6" ht="16.5" customHeight="1" x14ac:dyDescent="0.3">
      <c r="A26" s="438">
        <v>3</v>
      </c>
      <c r="B26" s="439">
        <v>12906755</v>
      </c>
      <c r="C26" s="439">
        <v>5234.66</v>
      </c>
      <c r="D26" s="440">
        <v>0.95</v>
      </c>
      <c r="E26" s="440">
        <v>4.72</v>
      </c>
      <c r="F26" s="440">
        <v>7.41</v>
      </c>
    </row>
    <row r="27" spans="1:6" ht="16.5" customHeight="1" x14ac:dyDescent="0.3">
      <c r="A27" s="438">
        <v>4</v>
      </c>
      <c r="B27" s="439">
        <v>12908685</v>
      </c>
      <c r="C27" s="439">
        <v>5245.42</v>
      </c>
      <c r="D27" s="440">
        <v>0.94</v>
      </c>
      <c r="E27" s="440">
        <v>4.72</v>
      </c>
      <c r="F27" s="440">
        <v>7.41</v>
      </c>
    </row>
    <row r="28" spans="1:6" ht="16.5" customHeight="1" x14ac:dyDescent="0.3">
      <c r="A28" s="438">
        <v>5</v>
      </c>
      <c r="B28" s="439">
        <v>12886016</v>
      </c>
      <c r="C28" s="439">
        <v>5257.3</v>
      </c>
      <c r="D28" s="440">
        <v>0.94</v>
      </c>
      <c r="E28" s="440">
        <v>4.7300000000000004</v>
      </c>
      <c r="F28" s="440">
        <v>7.42</v>
      </c>
    </row>
    <row r="29" spans="1:6" ht="16.5" customHeight="1" x14ac:dyDescent="0.3">
      <c r="A29" s="438">
        <v>6</v>
      </c>
      <c r="B29" s="442">
        <v>12893026</v>
      </c>
      <c r="C29" s="442">
        <v>5264.49</v>
      </c>
      <c r="D29" s="443">
        <v>0.94</v>
      </c>
      <c r="E29" s="443">
        <v>4.74</v>
      </c>
      <c r="F29" s="443">
        <v>7.41</v>
      </c>
    </row>
    <row r="30" spans="1:6" ht="16.5" customHeight="1" x14ac:dyDescent="0.3">
      <c r="A30" s="444" t="s">
        <v>18</v>
      </c>
      <c r="B30" s="445">
        <f>AVERAGE(B24:B29)</f>
        <v>12899676.5</v>
      </c>
      <c r="C30" s="446">
        <f>AVERAGE(C24:C29)</f>
        <v>5240.5550000000003</v>
      </c>
      <c r="D30" s="447">
        <f>AVERAGE(D24:D29)</f>
        <v>0.94333333333333336</v>
      </c>
      <c r="E30" s="447">
        <v>4.7300000000000004</v>
      </c>
      <c r="F30" s="447">
        <f>AVERAGE(F24:F29)</f>
        <v>7.413333333333334</v>
      </c>
    </row>
    <row r="31" spans="1:6" ht="16.5" customHeight="1" x14ac:dyDescent="0.3">
      <c r="A31" s="448" t="s">
        <v>19</v>
      </c>
      <c r="B31" s="449">
        <f>(STDEV(B24:B29)/B30)</f>
        <v>1.0897807058350294E-3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134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135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136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140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22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 t="s">
        <v>139</v>
      </c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134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135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136</v>
      </c>
      <c r="C57" s="458"/>
      <c r="D57" s="458"/>
      <c r="E57" s="458"/>
      <c r="F57" s="458"/>
    </row>
    <row r="58" spans="1:8" ht="14.25" customHeight="1" thickBot="1" x14ac:dyDescent="0.3">
      <c r="A58" s="459"/>
      <c r="B58" s="460"/>
      <c r="D58" s="461"/>
      <c r="E58" s="468"/>
      <c r="G58" s="427"/>
      <c r="H58" s="427"/>
    </row>
    <row r="59" spans="1:8" ht="15" customHeight="1" x14ac:dyDescent="0.3">
      <c r="B59" s="470" t="s">
        <v>23</v>
      </c>
      <c r="C59" s="470"/>
      <c r="F59" s="462" t="s">
        <v>24</v>
      </c>
      <c r="G59" s="463"/>
      <c r="H59" s="462" t="s">
        <v>25</v>
      </c>
    </row>
    <row r="60" spans="1:8" ht="15" customHeight="1" x14ac:dyDescent="0.3">
      <c r="A60" s="464" t="s">
        <v>26</v>
      </c>
      <c r="B60" s="465"/>
      <c r="C60" s="465"/>
      <c r="F60" s="465"/>
      <c r="H60" s="465"/>
    </row>
    <row r="61" spans="1:8" ht="15" customHeight="1" x14ac:dyDescent="0.3">
      <c r="A61" s="464" t="s">
        <v>27</v>
      </c>
      <c r="B61" s="466"/>
      <c r="C61" s="466"/>
      <c r="F61" s="466"/>
      <c r="H61" s="46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0" zoomScale="50" zoomScaleNormal="40" zoomScaleSheetLayoutView="50" zoomScalePageLayoutView="50" workbookViewId="0">
      <selection activeCell="H102" sqref="H10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42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43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50"/>
    </row>
    <row r="16" spans="1:9" ht="19.5" customHeight="1" x14ac:dyDescent="0.3">
      <c r="A16" s="482" t="s">
        <v>28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44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52" t="s">
        <v>30</v>
      </c>
      <c r="B18" s="486" t="s">
        <v>5</v>
      </c>
      <c r="C18" s="486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81" t="s">
        <v>128</v>
      </c>
      <c r="C20" s="481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81" t="s">
        <v>11</v>
      </c>
      <c r="C21" s="481"/>
      <c r="D21" s="481"/>
      <c r="E21" s="481"/>
      <c r="F21" s="481"/>
      <c r="G21" s="481"/>
      <c r="H21" s="481"/>
      <c r="I21" s="56"/>
    </row>
    <row r="22" spans="1:14" ht="26.25" customHeight="1" x14ac:dyDescent="0.4">
      <c r="A22" s="52" t="s">
        <v>34</v>
      </c>
      <c r="B22" s="57">
        <v>42818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42821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1" t="s">
        <v>128</v>
      </c>
      <c r="C26" s="481"/>
    </row>
    <row r="27" spans="1:14" ht="26.25" customHeight="1" x14ac:dyDescent="0.4">
      <c r="A27" s="61" t="s">
        <v>45</v>
      </c>
      <c r="B27" s="481" t="s">
        <v>129</v>
      </c>
      <c r="C27" s="481"/>
    </row>
    <row r="28" spans="1:14" ht="27" customHeight="1" x14ac:dyDescent="0.4">
      <c r="A28" s="61" t="s">
        <v>6</v>
      </c>
      <c r="B28" s="62">
        <v>99.8</v>
      </c>
    </row>
    <row r="29" spans="1:14" s="3" customFormat="1" ht="27" customHeight="1" x14ac:dyDescent="0.4">
      <c r="A29" s="61" t="s">
        <v>46</v>
      </c>
      <c r="B29" s="63">
        <v>0</v>
      </c>
      <c r="C29" s="487" t="s">
        <v>47</v>
      </c>
      <c r="D29" s="488"/>
      <c r="E29" s="488"/>
      <c r="F29" s="488"/>
      <c r="G29" s="48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90" t="s">
        <v>50</v>
      </c>
      <c r="D31" s="491"/>
      <c r="E31" s="491"/>
      <c r="F31" s="491"/>
      <c r="G31" s="491"/>
      <c r="H31" s="49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90" t="s">
        <v>52</v>
      </c>
      <c r="D32" s="491"/>
      <c r="E32" s="491"/>
      <c r="F32" s="491"/>
      <c r="G32" s="491"/>
      <c r="H32" s="49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93" t="s">
        <v>56</v>
      </c>
      <c r="E36" s="494"/>
      <c r="F36" s="493" t="s">
        <v>57</v>
      </c>
      <c r="G36" s="49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</v>
      </c>
      <c r="C38" s="83">
        <v>1</v>
      </c>
      <c r="D38" s="84">
        <v>53938581</v>
      </c>
      <c r="E38" s="85">
        <f>IF(ISBLANK(D38),"-",$D$48/$D$45*D38)</f>
        <v>59819230.04836458</v>
      </c>
      <c r="F38" s="84">
        <v>61213478</v>
      </c>
      <c r="G38" s="86">
        <f>IF(ISBLANK(F38),"-",$D$48/$F$45*F38)</f>
        <v>61428292.739710771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53798934</v>
      </c>
      <c r="E39" s="90">
        <f>IF(ISBLANK(D39),"-",$D$48/$D$45*D39)</f>
        <v>59664358.0464748</v>
      </c>
      <c r="F39" s="89">
        <v>61269212</v>
      </c>
      <c r="G39" s="91">
        <f>IF(ISBLANK(F39),"-",$D$48/$F$45*F39)</f>
        <v>61484222.325472184</v>
      </c>
      <c r="I39" s="497">
        <f>ABS((F43/D43*D42)-F42)/D42</f>
        <v>3.1725212054622864E-2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53826910</v>
      </c>
      <c r="E40" s="90">
        <f>IF(ISBLANK(D40),"-",$D$48/$D$45*D40)</f>
        <v>59695384.12741366</v>
      </c>
      <c r="F40" s="89">
        <v>61195359</v>
      </c>
      <c r="G40" s="91">
        <f>IF(ISBLANK(F40),"-",$D$48/$F$45*F40)</f>
        <v>61410110.155212782</v>
      </c>
      <c r="I40" s="49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53854808.333333336</v>
      </c>
      <c r="E42" s="100">
        <f>AVERAGE(E38:E41)</f>
        <v>59726324.074084342</v>
      </c>
      <c r="F42" s="99">
        <f>AVERAGE(F38:F41)</f>
        <v>61226016.333333336</v>
      </c>
      <c r="G42" s="101">
        <f>AVERAGE(G38:G41)</f>
        <v>61440875.07346525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18.07</v>
      </c>
      <c r="E43" s="92"/>
      <c r="F43" s="104">
        <v>19.97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18.07</v>
      </c>
      <c r="E44" s="107"/>
      <c r="F44" s="106">
        <f>F43*$B$34</f>
        <v>19.97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20</v>
      </c>
      <c r="C45" s="105" t="s">
        <v>74</v>
      </c>
      <c r="D45" s="109">
        <f>D44*$B$30/100</f>
        <v>18.033860000000001</v>
      </c>
      <c r="E45" s="110"/>
      <c r="F45" s="109">
        <f>F44*$B$30/100</f>
        <v>19.930059999999997</v>
      </c>
      <c r="H45" s="102"/>
    </row>
    <row r="46" spans="1:14" ht="19.5" customHeight="1" x14ac:dyDescent="0.3">
      <c r="A46" s="498" t="s">
        <v>75</v>
      </c>
      <c r="B46" s="499"/>
      <c r="C46" s="105" t="s">
        <v>76</v>
      </c>
      <c r="D46" s="111">
        <f>D45/$B$45</f>
        <v>0.90169300000000008</v>
      </c>
      <c r="E46" s="112"/>
      <c r="F46" s="113">
        <f>F45/$B$45</f>
        <v>0.99650299999999992</v>
      </c>
      <c r="H46" s="102"/>
    </row>
    <row r="47" spans="1:14" ht="27" customHeight="1" x14ac:dyDescent="0.4">
      <c r="A47" s="500"/>
      <c r="B47" s="501"/>
      <c r="C47" s="114" t="s">
        <v>77</v>
      </c>
      <c r="D47" s="115">
        <v>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20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60583599.573774792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1.5529686498725057E-2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Lopinavir 200 mg and Ritonavir USP 50 mg.</v>
      </c>
    </row>
    <row r="56" spans="1:12" ht="26.25" customHeight="1" x14ac:dyDescent="0.4">
      <c r="A56" s="129" t="s">
        <v>84</v>
      </c>
      <c r="B56" s="130">
        <v>200</v>
      </c>
      <c r="C56" s="51" t="str">
        <f>B20</f>
        <v xml:space="preserve">LOPINAVIR </v>
      </c>
      <c r="H56" s="131"/>
    </row>
    <row r="57" spans="1:12" ht="18.75" x14ac:dyDescent="0.3">
      <c r="A57" s="128" t="s">
        <v>85</v>
      </c>
      <c r="B57" s="199">
        <f>Uniformity!C46</f>
        <v>1258.6945000000001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</v>
      </c>
      <c r="C60" s="502" t="s">
        <v>91</v>
      </c>
      <c r="D60" s="505">
        <v>1256.6300000000001</v>
      </c>
      <c r="E60" s="134">
        <v>1</v>
      </c>
      <c r="F60" s="135">
        <v>62172388</v>
      </c>
      <c r="G60" s="200">
        <f>IF(ISBLANK(F60),"-",(F60/$D$50*$D$47*$B$68)*($B$57/$D$60))</f>
        <v>205.58213969508989</v>
      </c>
      <c r="H60" s="218">
        <f t="shared" ref="H60:H71" si="0">IF(ISBLANK(F60),"-",(G60/$B$56)*100)</f>
        <v>102.79106984754493</v>
      </c>
      <c r="L60" s="64"/>
    </row>
    <row r="61" spans="1:12" s="3" customFormat="1" ht="26.25" customHeight="1" x14ac:dyDescent="0.4">
      <c r="A61" s="76" t="s">
        <v>92</v>
      </c>
      <c r="B61" s="77">
        <v>1</v>
      </c>
      <c r="C61" s="503"/>
      <c r="D61" s="506"/>
      <c r="E61" s="136">
        <v>2</v>
      </c>
      <c r="F61" s="89">
        <v>62327740</v>
      </c>
      <c r="G61" s="201">
        <f>IF(ISBLANK(F61),"-",(F61/$D$50*$D$47*$B$68)*($B$57/$D$60))</f>
        <v>206.09583391841471</v>
      </c>
      <c r="H61" s="219">
        <f t="shared" si="0"/>
        <v>103.04791695920737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503"/>
      <c r="D62" s="506"/>
      <c r="E62" s="136">
        <v>3</v>
      </c>
      <c r="F62" s="137">
        <v>62573381</v>
      </c>
      <c r="G62" s="201">
        <f>IF(ISBLANK(F62),"-",(F62/$D$50*$D$47*$B$68)*($B$57/$D$60))</f>
        <v>206.90808199189777</v>
      </c>
      <c r="H62" s="219">
        <f t="shared" si="0"/>
        <v>103.45404099594889</v>
      </c>
      <c r="L62" s="64"/>
    </row>
    <row r="63" spans="1:12" ht="27" customHeight="1" x14ac:dyDescent="0.4">
      <c r="A63" s="76" t="s">
        <v>94</v>
      </c>
      <c r="B63" s="77">
        <v>1</v>
      </c>
      <c r="C63" s="504"/>
      <c r="D63" s="50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502" t="s">
        <v>96</v>
      </c>
      <c r="D64" s="505">
        <v>1248.94</v>
      </c>
      <c r="E64" s="134">
        <v>1</v>
      </c>
      <c r="F64" s="135">
        <v>60588750</v>
      </c>
      <c r="G64" s="200">
        <f>IF(ISBLANK(F64),"-",(F64/$D$50*$D$47*$B$68)*($B$57/$D$64))</f>
        <v>201.57918011664003</v>
      </c>
      <c r="H64" s="218">
        <f t="shared" si="0"/>
        <v>100.78959005832002</v>
      </c>
    </row>
    <row r="65" spans="1:8" ht="26.25" customHeight="1" x14ac:dyDescent="0.4">
      <c r="A65" s="76" t="s">
        <v>97</v>
      </c>
      <c r="B65" s="77">
        <v>1</v>
      </c>
      <c r="C65" s="503"/>
      <c r="D65" s="506"/>
      <c r="E65" s="136">
        <v>2</v>
      </c>
      <c r="F65" s="89">
        <v>60933273</v>
      </c>
      <c r="G65" s="201">
        <f>IF(ISBLANK(F65),"-",(F65/$D$50*$D$47*$B$68)*($B$57/$D$64))</f>
        <v>202.72541046255944</v>
      </c>
      <c r="H65" s="219">
        <f t="shared" si="0"/>
        <v>101.36270523127973</v>
      </c>
    </row>
    <row r="66" spans="1:8" ht="26.25" customHeight="1" x14ac:dyDescent="0.4">
      <c r="A66" s="76" t="s">
        <v>98</v>
      </c>
      <c r="B66" s="77">
        <v>1</v>
      </c>
      <c r="C66" s="503"/>
      <c r="D66" s="506"/>
      <c r="E66" s="136">
        <v>3</v>
      </c>
      <c r="F66" s="89">
        <v>60898168</v>
      </c>
      <c r="G66" s="201">
        <f>IF(ISBLANK(F66),"-",(F66/$D$50*$D$47*$B$68)*($B$57/$D$64))</f>
        <v>202.60861589066295</v>
      </c>
      <c r="H66" s="219">
        <f t="shared" si="0"/>
        <v>101.30430794533147</v>
      </c>
    </row>
    <row r="67" spans="1:8" ht="27" customHeight="1" x14ac:dyDescent="0.4">
      <c r="A67" s="76" t="s">
        <v>99</v>
      </c>
      <c r="B67" s="77">
        <v>1</v>
      </c>
      <c r="C67" s="504"/>
      <c r="D67" s="50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200</v>
      </c>
      <c r="C68" s="502" t="s">
        <v>101</v>
      </c>
      <c r="D68" s="505">
        <v>1266.55</v>
      </c>
      <c r="E68" s="134">
        <v>1</v>
      </c>
      <c r="F68" s="135">
        <v>60855713</v>
      </c>
      <c r="G68" s="200">
        <f>IF(ISBLANK(F68),"-",(F68/$D$50*$D$47*$B$68)*($B$57/$D$68))</f>
        <v>199.65227931315025</v>
      </c>
      <c r="H68" s="219">
        <f t="shared" si="0"/>
        <v>99.826139656575123</v>
      </c>
    </row>
    <row r="69" spans="1:8" ht="27" customHeight="1" x14ac:dyDescent="0.4">
      <c r="A69" s="124" t="s">
        <v>102</v>
      </c>
      <c r="B69" s="141">
        <f>(D47*B68)/B56*B57</f>
        <v>1258.6945000000001</v>
      </c>
      <c r="C69" s="503"/>
      <c r="D69" s="506"/>
      <c r="E69" s="136">
        <v>2</v>
      </c>
      <c r="F69" s="89">
        <v>61043889</v>
      </c>
      <c r="G69" s="201">
        <f>IF(ISBLANK(F69),"-",(F69/$D$50*$D$47*$B$68)*($B$57/$D$68))</f>
        <v>200.26963741249634</v>
      </c>
      <c r="H69" s="219">
        <f t="shared" si="0"/>
        <v>100.13481870624817</v>
      </c>
    </row>
    <row r="70" spans="1:8" ht="26.25" customHeight="1" x14ac:dyDescent="0.4">
      <c r="A70" s="515" t="s">
        <v>75</v>
      </c>
      <c r="B70" s="516"/>
      <c r="C70" s="503"/>
      <c r="D70" s="506"/>
      <c r="E70" s="136">
        <v>3</v>
      </c>
      <c r="F70" s="89">
        <v>61133471</v>
      </c>
      <c r="G70" s="201">
        <f>IF(ISBLANK(F70),"-",(F70/$D$50*$D$47*$B$68)*($B$57/$D$68))</f>
        <v>200.56353341015605</v>
      </c>
      <c r="H70" s="219">
        <f t="shared" si="0"/>
        <v>100.28176670507803</v>
      </c>
    </row>
    <row r="71" spans="1:8" ht="27" customHeight="1" x14ac:dyDescent="0.4">
      <c r="A71" s="517"/>
      <c r="B71" s="518"/>
      <c r="C71" s="514"/>
      <c r="D71" s="50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202.88719024567416</v>
      </c>
      <c r="H72" s="221">
        <f>AVERAGE(H60:H71)</f>
        <v>101.44359512283708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1.3300583603293184E-2</v>
      </c>
      <c r="H73" s="205">
        <f>STDEV(H60:H71)/H72</f>
        <v>1.3300583603293186E-2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510" t="str">
        <f>B26</f>
        <v xml:space="preserve">LOPINAVIR </v>
      </c>
      <c r="D76" s="510"/>
      <c r="E76" s="150" t="s">
        <v>105</v>
      </c>
      <c r="F76" s="150"/>
      <c r="G76" s="151">
        <f>H72</f>
        <v>101.44359512283708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6" t="str">
        <f>B26</f>
        <v xml:space="preserve">LOPINAVIR </v>
      </c>
      <c r="C79" s="496"/>
    </row>
    <row r="80" spans="1:8" ht="26.25" customHeight="1" x14ac:dyDescent="0.4">
      <c r="A80" s="61" t="s">
        <v>45</v>
      </c>
      <c r="B80" s="496" t="str">
        <f>B27</f>
        <v>L20-2</v>
      </c>
      <c r="C80" s="496"/>
    </row>
    <row r="81" spans="1:12" ht="27" customHeight="1" x14ac:dyDescent="0.4">
      <c r="A81" s="61" t="s">
        <v>6</v>
      </c>
      <c r="B81" s="153">
        <f>B28</f>
        <v>99.8</v>
      </c>
    </row>
    <row r="82" spans="1:12" s="3" customFormat="1" ht="27" customHeight="1" x14ac:dyDescent="0.4">
      <c r="A82" s="61" t="s">
        <v>46</v>
      </c>
      <c r="B82" s="63">
        <v>0</v>
      </c>
      <c r="C82" s="487" t="s">
        <v>47</v>
      </c>
      <c r="D82" s="488"/>
      <c r="E82" s="488"/>
      <c r="F82" s="488"/>
      <c r="G82" s="48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90" t="s">
        <v>108</v>
      </c>
      <c r="D84" s="491"/>
      <c r="E84" s="491"/>
      <c r="F84" s="491"/>
      <c r="G84" s="491"/>
      <c r="H84" s="49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90" t="s">
        <v>109</v>
      </c>
      <c r="D85" s="491"/>
      <c r="E85" s="491"/>
      <c r="F85" s="491"/>
      <c r="G85" s="491"/>
      <c r="H85" s="49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54" t="s">
        <v>56</v>
      </c>
      <c r="E89" s="155"/>
      <c r="F89" s="493" t="s">
        <v>57</v>
      </c>
      <c r="G89" s="495"/>
    </row>
    <row r="90" spans="1:12" ht="27" customHeight="1" x14ac:dyDescent="0.4">
      <c r="A90" s="76" t="s">
        <v>58</v>
      </c>
      <c r="B90" s="77">
        <v>2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58">
        <v>1</v>
      </c>
      <c r="D91" s="84">
        <v>11120674</v>
      </c>
      <c r="E91" s="85">
        <f>IF(ISBLANK(D91),"-",$D$101/$D$98*D91)</f>
        <v>13703449.449473871</v>
      </c>
      <c r="F91" s="84">
        <v>12530862</v>
      </c>
      <c r="G91" s="86">
        <f>IF(ISBLANK(F91),"-",$D$101/$F$98*F91)</f>
        <v>13972040.224665657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11119964</v>
      </c>
      <c r="E92" s="90">
        <f>IF(ISBLANK(D92),"-",$D$101/$D$98*D92)</f>
        <v>13702574.552043272</v>
      </c>
      <c r="F92" s="89">
        <v>12551316</v>
      </c>
      <c r="G92" s="91">
        <f>IF(ISBLANK(F92),"-",$D$101/$F$98*F92)</f>
        <v>13994846.645385582</v>
      </c>
      <c r="I92" s="497">
        <f>ABS((F96/D96*D95)-F95)/D95</f>
        <v>2.1680143485777535E-2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11122020</v>
      </c>
      <c r="E93" s="90">
        <f>IF(ISBLANK(D93),"-",$D$101/$D$98*D93)</f>
        <v>13705108.057842301</v>
      </c>
      <c r="F93" s="89">
        <v>12511759</v>
      </c>
      <c r="G93" s="91">
        <f>IF(ISBLANK(F93),"-",$D$101/$F$98*F93)</f>
        <v>13950740.182863921</v>
      </c>
      <c r="I93" s="497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11120886</v>
      </c>
      <c r="E95" s="100">
        <f>AVERAGE(E91:E94)</f>
        <v>13703710.686453149</v>
      </c>
      <c r="F95" s="163">
        <f>AVERAGE(F91:F94)</f>
        <v>12531312.333333334</v>
      </c>
      <c r="G95" s="164">
        <f>AVERAGE(G91:G94)</f>
        <v>13972542.350971719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18.07</v>
      </c>
      <c r="E96" s="92"/>
      <c r="F96" s="104">
        <v>19.97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18.07</v>
      </c>
      <c r="E97" s="107"/>
      <c r="F97" s="106">
        <f>F96*$B$87</f>
        <v>19.97</v>
      </c>
    </row>
    <row r="98" spans="1:10" ht="19.5" customHeight="1" x14ac:dyDescent="0.3">
      <c r="A98" s="76" t="s">
        <v>73</v>
      </c>
      <c r="B98" s="169">
        <f>(B97/B96)*(B95/B94)*(B93/B92)*(B91/B90)*B89</f>
        <v>100</v>
      </c>
      <c r="C98" s="167" t="s">
        <v>112</v>
      </c>
      <c r="D98" s="170">
        <f>D97*$B$83/100</f>
        <v>18.033860000000001</v>
      </c>
      <c r="E98" s="110"/>
      <c r="F98" s="109">
        <f>F97*$B$83/100</f>
        <v>19.930059999999997</v>
      </c>
    </row>
    <row r="99" spans="1:10" ht="19.5" customHeight="1" x14ac:dyDescent="0.3">
      <c r="A99" s="498" t="s">
        <v>75</v>
      </c>
      <c r="B99" s="512"/>
      <c r="C99" s="167" t="s">
        <v>113</v>
      </c>
      <c r="D99" s="171">
        <f>D98/$B$98</f>
        <v>0.18033860000000002</v>
      </c>
      <c r="E99" s="110"/>
      <c r="F99" s="113">
        <f>F98/$B$98</f>
        <v>0.19930059999999997</v>
      </c>
      <c r="G99" s="172"/>
      <c r="H99" s="102"/>
    </row>
    <row r="100" spans="1:10" ht="19.5" customHeight="1" x14ac:dyDescent="0.3">
      <c r="A100" s="500"/>
      <c r="B100" s="513"/>
      <c r="C100" s="167" t="s">
        <v>77</v>
      </c>
      <c r="D100" s="173">
        <f>$B$56/$B$116</f>
        <v>0.22222222222222221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13838126.518712433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1.068835281512283E-2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13513550</v>
      </c>
      <c r="E108" s="202">
        <f t="shared" ref="E108:E113" si="1">IF(ISBLANK(D108),"-",D108/$D$103*$D$100*$B$116)</f>
        <v>195.3089528662203</v>
      </c>
      <c r="F108" s="229">
        <f t="shared" ref="F108:F113" si="2">IF(ISBLANK(D108), "-", (E108/$B$56)*100)</f>
        <v>97.654476433110148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13381962</v>
      </c>
      <c r="E109" s="203">
        <f t="shared" si="1"/>
        <v>193.407134728887</v>
      </c>
      <c r="F109" s="230">
        <f t="shared" si="2"/>
        <v>96.703567364443501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13648323</v>
      </c>
      <c r="E110" s="203">
        <f t="shared" si="1"/>
        <v>197.25680324636758</v>
      </c>
      <c r="F110" s="230">
        <f t="shared" si="2"/>
        <v>98.628401623183791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13301504</v>
      </c>
      <c r="E111" s="203">
        <f t="shared" si="1"/>
        <v>192.2442894565707</v>
      </c>
      <c r="F111" s="230">
        <f t="shared" si="2"/>
        <v>96.122144728285349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13602182</v>
      </c>
      <c r="E112" s="203">
        <f t="shared" si="1"/>
        <v>196.5899355177396</v>
      </c>
      <c r="F112" s="230">
        <f t="shared" si="2"/>
        <v>98.294967758869802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13630232</v>
      </c>
      <c r="E113" s="204">
        <f t="shared" si="1"/>
        <v>196.99533721661945</v>
      </c>
      <c r="F113" s="231">
        <f t="shared" si="2"/>
        <v>98.497668608309723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195.30040883873411</v>
      </c>
      <c r="F115" s="233">
        <f>AVERAGE(F108:F113)</f>
        <v>97.650204419367057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186"/>
      <c r="D116" s="210" t="s">
        <v>81</v>
      </c>
      <c r="E116" s="208">
        <f>STDEV(E108:E113)/E115</f>
        <v>1.0565130062917727E-2</v>
      </c>
      <c r="F116" s="187">
        <f>STDEV(F108:F113)/F115</f>
        <v>1.0565130062917727E-2</v>
      </c>
      <c r="I116" s="50"/>
    </row>
    <row r="117" spans="1:10" ht="27" customHeight="1" x14ac:dyDescent="0.4">
      <c r="A117" s="498" t="s">
        <v>75</v>
      </c>
      <c r="B117" s="499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0"/>
      <c r="B118" s="501"/>
      <c r="C118" s="50"/>
      <c r="D118" s="212"/>
      <c r="E118" s="479" t="s">
        <v>120</v>
      </c>
      <c r="F118" s="480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192.2442894565707</v>
      </c>
      <c r="F119" s="234">
        <f>MIN(F108:F113)</f>
        <v>96.122144728285349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197.25680324636758</v>
      </c>
      <c r="F120" s="235">
        <f>MAX(F108:F113)</f>
        <v>98.628401623183791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510" t="str">
        <f>B26</f>
        <v xml:space="preserve">LOPINAVIR </v>
      </c>
      <c r="D124" s="510"/>
      <c r="E124" s="150" t="s">
        <v>124</v>
      </c>
      <c r="F124" s="150"/>
      <c r="G124" s="236">
        <f>F115</f>
        <v>97.650204419367057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96.122144728285349</v>
      </c>
      <c r="E125" s="161" t="s">
        <v>127</v>
      </c>
      <c r="F125" s="236">
        <f>MAX(F108:F113)</f>
        <v>98.628401623183791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1" t="s">
        <v>23</v>
      </c>
      <c r="C127" s="511"/>
      <c r="E127" s="156" t="s">
        <v>24</v>
      </c>
      <c r="F127" s="191"/>
      <c r="G127" s="511" t="s">
        <v>25</v>
      </c>
      <c r="H127" s="511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50" zoomScaleNormal="40" zoomScaleSheetLayoutView="50" zoomScalePageLayoutView="50" workbookViewId="0">
      <selection activeCell="H110" sqref="H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8" t="s">
        <v>42</v>
      </c>
      <c r="B1" s="508"/>
      <c r="C1" s="508"/>
      <c r="D1" s="508"/>
      <c r="E1" s="508"/>
      <c r="F1" s="508"/>
      <c r="G1" s="508"/>
      <c r="H1" s="508"/>
      <c r="I1" s="508"/>
    </row>
    <row r="2" spans="1:9" ht="18.75" customHeight="1" x14ac:dyDescent="0.25">
      <c r="A2" s="508"/>
      <c r="B2" s="508"/>
      <c r="C2" s="508"/>
      <c r="D2" s="508"/>
      <c r="E2" s="508"/>
      <c r="F2" s="508"/>
      <c r="G2" s="508"/>
      <c r="H2" s="508"/>
      <c r="I2" s="508"/>
    </row>
    <row r="3" spans="1:9" ht="18.75" customHeight="1" x14ac:dyDescent="0.25">
      <c r="A3" s="508"/>
      <c r="B3" s="508"/>
      <c r="C3" s="508"/>
      <c r="D3" s="508"/>
      <c r="E3" s="508"/>
      <c r="F3" s="508"/>
      <c r="G3" s="508"/>
      <c r="H3" s="508"/>
      <c r="I3" s="508"/>
    </row>
    <row r="4" spans="1:9" ht="18.75" customHeight="1" x14ac:dyDescent="0.25">
      <c r="A4" s="508"/>
      <c r="B4" s="508"/>
      <c r="C4" s="508"/>
      <c r="D4" s="508"/>
      <c r="E4" s="508"/>
      <c r="F4" s="508"/>
      <c r="G4" s="508"/>
      <c r="H4" s="508"/>
      <c r="I4" s="508"/>
    </row>
    <row r="5" spans="1:9" ht="18.75" customHeight="1" x14ac:dyDescent="0.25">
      <c r="A5" s="508"/>
      <c r="B5" s="508"/>
      <c r="C5" s="508"/>
      <c r="D5" s="508"/>
      <c r="E5" s="508"/>
      <c r="F5" s="508"/>
      <c r="G5" s="508"/>
      <c r="H5" s="508"/>
      <c r="I5" s="508"/>
    </row>
    <row r="6" spans="1:9" ht="18.75" customHeight="1" x14ac:dyDescent="0.25">
      <c r="A6" s="508"/>
      <c r="B6" s="508"/>
      <c r="C6" s="508"/>
      <c r="D6" s="508"/>
      <c r="E6" s="508"/>
      <c r="F6" s="508"/>
      <c r="G6" s="508"/>
      <c r="H6" s="508"/>
      <c r="I6" s="508"/>
    </row>
    <row r="7" spans="1:9" ht="18.75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x14ac:dyDescent="0.25">
      <c r="A8" s="509" t="s">
        <v>43</v>
      </c>
      <c r="B8" s="509"/>
      <c r="C8" s="509"/>
      <c r="D8" s="509"/>
      <c r="E8" s="509"/>
      <c r="F8" s="509"/>
      <c r="G8" s="509"/>
      <c r="H8" s="509"/>
      <c r="I8" s="509"/>
    </row>
    <row r="9" spans="1:9" x14ac:dyDescent="0.25">
      <c r="A9" s="509"/>
      <c r="B9" s="509"/>
      <c r="C9" s="509"/>
      <c r="D9" s="509"/>
      <c r="E9" s="509"/>
      <c r="F9" s="509"/>
      <c r="G9" s="509"/>
      <c r="H9" s="509"/>
      <c r="I9" s="509"/>
    </row>
    <row r="10" spans="1:9" x14ac:dyDescent="0.25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5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x14ac:dyDescent="0.25">
      <c r="A12" s="509"/>
      <c r="B12" s="509"/>
      <c r="C12" s="509"/>
      <c r="D12" s="509"/>
      <c r="E12" s="509"/>
      <c r="F12" s="509"/>
      <c r="G12" s="509"/>
      <c r="H12" s="509"/>
      <c r="I12" s="509"/>
    </row>
    <row r="13" spans="1:9" x14ac:dyDescent="0.25">
      <c r="A13" s="509"/>
      <c r="B13" s="509"/>
      <c r="C13" s="509"/>
      <c r="D13" s="509"/>
      <c r="E13" s="509"/>
      <c r="F13" s="509"/>
      <c r="G13" s="509"/>
      <c r="H13" s="509"/>
      <c r="I13" s="509"/>
    </row>
    <row r="14" spans="1:9" x14ac:dyDescent="0.25">
      <c r="A14" s="509"/>
      <c r="B14" s="509"/>
      <c r="C14" s="509"/>
      <c r="D14" s="509"/>
      <c r="E14" s="509"/>
      <c r="F14" s="509"/>
      <c r="G14" s="509"/>
      <c r="H14" s="509"/>
      <c r="I14" s="509"/>
    </row>
    <row r="15" spans="1:9" ht="19.5" customHeight="1" x14ac:dyDescent="0.3">
      <c r="A15" s="237"/>
    </row>
    <row r="16" spans="1:9" ht="19.5" customHeight="1" x14ac:dyDescent="0.3">
      <c r="A16" s="482" t="s">
        <v>28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44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239" t="s">
        <v>30</v>
      </c>
      <c r="B18" s="486" t="s">
        <v>5</v>
      </c>
      <c r="C18" s="486"/>
      <c r="D18" s="385"/>
      <c r="E18" s="240"/>
      <c r="F18" s="241"/>
      <c r="G18" s="241"/>
      <c r="H18" s="241"/>
    </row>
    <row r="19" spans="1:14" ht="26.25" customHeight="1" x14ac:dyDescent="0.4">
      <c r="A19" s="239" t="s">
        <v>31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32</v>
      </c>
      <c r="B20" s="481" t="s">
        <v>130</v>
      </c>
      <c r="C20" s="481"/>
      <c r="D20" s="241"/>
      <c r="E20" s="241"/>
      <c r="F20" s="241"/>
      <c r="G20" s="241"/>
      <c r="H20" s="241"/>
    </row>
    <row r="21" spans="1:14" ht="26.25" customHeight="1" x14ac:dyDescent="0.4">
      <c r="A21" s="239" t="s">
        <v>33</v>
      </c>
      <c r="B21" s="481" t="s">
        <v>11</v>
      </c>
      <c r="C21" s="481"/>
      <c r="D21" s="481"/>
      <c r="E21" s="481"/>
      <c r="F21" s="481"/>
      <c r="G21" s="481"/>
      <c r="H21" s="481"/>
      <c r="I21" s="243"/>
    </row>
    <row r="22" spans="1:14" ht="26.25" customHeight="1" x14ac:dyDescent="0.4">
      <c r="A22" s="239" t="s">
        <v>34</v>
      </c>
      <c r="B22" s="244">
        <v>42818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35</v>
      </c>
      <c r="B23" s="244">
        <v>42821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81" t="s">
        <v>130</v>
      </c>
      <c r="C26" s="481"/>
    </row>
    <row r="27" spans="1:14" ht="26.25" customHeight="1" x14ac:dyDescent="0.4">
      <c r="A27" s="248" t="s">
        <v>45</v>
      </c>
      <c r="B27" s="519" t="s">
        <v>131</v>
      </c>
      <c r="C27" s="519"/>
    </row>
    <row r="28" spans="1:14" ht="27" customHeight="1" x14ac:dyDescent="0.4">
      <c r="A28" s="248" t="s">
        <v>6</v>
      </c>
      <c r="B28" s="249">
        <v>99.4</v>
      </c>
    </row>
    <row r="29" spans="1:14" s="3" customFormat="1" ht="27" customHeight="1" x14ac:dyDescent="0.4">
      <c r="A29" s="248" t="s">
        <v>46</v>
      </c>
      <c r="B29" s="250">
        <v>0</v>
      </c>
      <c r="C29" s="487" t="s">
        <v>47</v>
      </c>
      <c r="D29" s="488"/>
      <c r="E29" s="488"/>
      <c r="F29" s="488"/>
      <c r="G29" s="489"/>
      <c r="I29" s="251"/>
      <c r="J29" s="251"/>
      <c r="K29" s="251"/>
      <c r="L29" s="251"/>
    </row>
    <row r="30" spans="1:14" s="3" customFormat="1" ht="19.5" customHeight="1" x14ac:dyDescent="0.3">
      <c r="A30" s="248" t="s">
        <v>48</v>
      </c>
      <c r="B30" s="252">
        <f>B28-B29</f>
        <v>99.4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49</v>
      </c>
      <c r="B31" s="255">
        <v>1</v>
      </c>
      <c r="C31" s="490" t="s">
        <v>50</v>
      </c>
      <c r="D31" s="491"/>
      <c r="E31" s="491"/>
      <c r="F31" s="491"/>
      <c r="G31" s="491"/>
      <c r="H31" s="492"/>
      <c r="I31" s="251"/>
      <c r="J31" s="251"/>
      <c r="K31" s="251"/>
      <c r="L31" s="251"/>
    </row>
    <row r="32" spans="1:14" s="3" customFormat="1" ht="27" customHeight="1" x14ac:dyDescent="0.4">
      <c r="A32" s="248" t="s">
        <v>51</v>
      </c>
      <c r="B32" s="255">
        <v>1</v>
      </c>
      <c r="C32" s="490" t="s">
        <v>52</v>
      </c>
      <c r="D32" s="491"/>
      <c r="E32" s="491"/>
      <c r="F32" s="491"/>
      <c r="G32" s="491"/>
      <c r="H32" s="492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53</v>
      </c>
      <c r="B34" s="260">
        <f>B31/B32</f>
        <v>1</v>
      </c>
      <c r="C34" s="238" t="s">
        <v>54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55</v>
      </c>
      <c r="B36" s="262">
        <v>25</v>
      </c>
      <c r="C36" s="238"/>
      <c r="D36" s="493" t="s">
        <v>56</v>
      </c>
      <c r="E36" s="494"/>
      <c r="F36" s="493" t="s">
        <v>57</v>
      </c>
      <c r="G36" s="495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58</v>
      </c>
      <c r="B37" s="264">
        <v>10</v>
      </c>
      <c r="C37" s="265" t="s">
        <v>59</v>
      </c>
      <c r="D37" s="266" t="s">
        <v>60</v>
      </c>
      <c r="E37" s="267" t="s">
        <v>61</v>
      </c>
      <c r="F37" s="266" t="s">
        <v>60</v>
      </c>
      <c r="G37" s="268" t="s">
        <v>61</v>
      </c>
      <c r="I37" s="269" t="s">
        <v>62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63</v>
      </c>
      <c r="B38" s="264">
        <v>20</v>
      </c>
      <c r="C38" s="270">
        <v>1</v>
      </c>
      <c r="D38" s="271">
        <v>12913622</v>
      </c>
      <c r="E38" s="272">
        <f>IF(ISBLANK(D38),"-",$D$48/$D$45*D38)</f>
        <v>14551491.295442909</v>
      </c>
      <c r="F38" s="271">
        <v>14077581</v>
      </c>
      <c r="G38" s="273">
        <f>IF(ISBLANK(F38),"-",$D$48/$F$45*F38)</f>
        <v>14276770.502044525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64</v>
      </c>
      <c r="B39" s="264">
        <v>1</v>
      </c>
      <c r="C39" s="275">
        <v>2</v>
      </c>
      <c r="D39" s="276">
        <v>12898951</v>
      </c>
      <c r="E39" s="277">
        <f>IF(ISBLANK(D39),"-",$D$48/$D$45*D39)</f>
        <v>14534959.533184772</v>
      </c>
      <c r="F39" s="276">
        <v>14099261</v>
      </c>
      <c r="G39" s="278">
        <f>IF(ISBLANK(F39),"-",$D$48/$F$45*F39)</f>
        <v>14298757.261309793</v>
      </c>
      <c r="I39" s="497">
        <f>ABS((F43/D43*D42)-F42)/D42</f>
        <v>1.9823467697537959E-2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65</v>
      </c>
      <c r="B40" s="264">
        <v>1</v>
      </c>
      <c r="C40" s="275">
        <v>3</v>
      </c>
      <c r="D40" s="276">
        <v>12934544</v>
      </c>
      <c r="E40" s="277">
        <f>IF(ISBLANK(D40),"-",$D$48/$D$45*D40)</f>
        <v>14575066.888787925</v>
      </c>
      <c r="F40" s="276">
        <v>14107408</v>
      </c>
      <c r="G40" s="278">
        <f>IF(ISBLANK(F40),"-",$D$48/$F$45*F40)</f>
        <v>14307019.536574284</v>
      </c>
      <c r="I40" s="497"/>
      <c r="L40" s="256"/>
      <c r="M40" s="256"/>
      <c r="N40" s="279"/>
    </row>
    <row r="41" spans="1:14" ht="27" customHeight="1" x14ac:dyDescent="0.4">
      <c r="A41" s="263" t="s">
        <v>66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67</v>
      </c>
      <c r="B42" s="264">
        <v>1</v>
      </c>
      <c r="C42" s="285" t="s">
        <v>68</v>
      </c>
      <c r="D42" s="286">
        <f>AVERAGE(D38:D41)</f>
        <v>12915705.666666666</v>
      </c>
      <c r="E42" s="287">
        <f>AVERAGE(E38:E41)</f>
        <v>14553839.239138536</v>
      </c>
      <c r="F42" s="286">
        <f>AVERAGE(F38:F41)</f>
        <v>14094750</v>
      </c>
      <c r="G42" s="288">
        <f>AVERAGE(G38:G41)</f>
        <v>14294182.433309533</v>
      </c>
      <c r="H42" s="289"/>
    </row>
    <row r="43" spans="1:14" ht="26.25" customHeight="1" x14ac:dyDescent="0.4">
      <c r="A43" s="263" t="s">
        <v>69</v>
      </c>
      <c r="B43" s="264">
        <v>1</v>
      </c>
      <c r="C43" s="290" t="s">
        <v>70</v>
      </c>
      <c r="D43" s="291">
        <v>11.16</v>
      </c>
      <c r="E43" s="279"/>
      <c r="F43" s="291">
        <v>12.4</v>
      </c>
      <c r="H43" s="289"/>
    </row>
    <row r="44" spans="1:14" ht="26.25" customHeight="1" x14ac:dyDescent="0.4">
      <c r="A44" s="263" t="s">
        <v>71</v>
      </c>
      <c r="B44" s="264">
        <v>1</v>
      </c>
      <c r="C44" s="292" t="s">
        <v>72</v>
      </c>
      <c r="D44" s="293">
        <f>D43*$B$34</f>
        <v>11.16</v>
      </c>
      <c r="E44" s="294"/>
      <c r="F44" s="293">
        <f>F43*$B$34</f>
        <v>12.4</v>
      </c>
      <c r="H44" s="289"/>
    </row>
    <row r="45" spans="1:14" ht="19.5" customHeight="1" x14ac:dyDescent="0.3">
      <c r="A45" s="263" t="s">
        <v>73</v>
      </c>
      <c r="B45" s="295">
        <f>(B44/B43)*(B42/B41)*(B40/B39)*(B38/B37)*B36</f>
        <v>50</v>
      </c>
      <c r="C45" s="292" t="s">
        <v>74</v>
      </c>
      <c r="D45" s="296">
        <f>D44*$B$30/100</f>
        <v>11.09304</v>
      </c>
      <c r="E45" s="297"/>
      <c r="F45" s="296">
        <f>F44*$B$30/100</f>
        <v>12.325600000000001</v>
      </c>
      <c r="H45" s="289"/>
    </row>
    <row r="46" spans="1:14" ht="19.5" customHeight="1" x14ac:dyDescent="0.3">
      <c r="A46" s="498" t="s">
        <v>75</v>
      </c>
      <c r="B46" s="499"/>
      <c r="C46" s="292" t="s">
        <v>76</v>
      </c>
      <c r="D46" s="298">
        <f>D45/$B$45</f>
        <v>0.2218608</v>
      </c>
      <c r="E46" s="299"/>
      <c r="F46" s="300">
        <f>F45/$B$45</f>
        <v>0.24651200000000004</v>
      </c>
      <c r="H46" s="289"/>
    </row>
    <row r="47" spans="1:14" ht="27" customHeight="1" x14ac:dyDescent="0.4">
      <c r="A47" s="500"/>
      <c r="B47" s="501"/>
      <c r="C47" s="301" t="s">
        <v>77</v>
      </c>
      <c r="D47" s="302">
        <v>0.25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12.5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12.5</v>
      </c>
      <c r="F49" s="305"/>
      <c r="H49" s="289"/>
    </row>
    <row r="50" spans="1:12" ht="18.75" x14ac:dyDescent="0.3">
      <c r="C50" s="261" t="s">
        <v>80</v>
      </c>
      <c r="D50" s="308">
        <f>AVERAGE(E38:E41,G38:G41)</f>
        <v>14424010.836224034</v>
      </c>
      <c r="F50" s="309"/>
      <c r="H50" s="289"/>
    </row>
    <row r="51" spans="1:12" ht="18.75" x14ac:dyDescent="0.3">
      <c r="C51" s="263" t="s">
        <v>81</v>
      </c>
      <c r="D51" s="310">
        <f>STDEV(E38:E41,G38:G41)/D50</f>
        <v>9.9231811154551781E-3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38" t="s">
        <v>83</v>
      </c>
      <c r="B55" s="315" t="str">
        <f>B21</f>
        <v>Each film coated tablet contains Lopinavir 200 mg and Ritonavir USP 50 mg.</v>
      </c>
    </row>
    <row r="56" spans="1:12" ht="26.25" customHeight="1" x14ac:dyDescent="0.4">
      <c r="A56" s="316" t="s">
        <v>84</v>
      </c>
      <c r="B56" s="317">
        <v>50</v>
      </c>
      <c r="C56" s="238" t="str">
        <f>B20</f>
        <v xml:space="preserve"> RITONAVIR</v>
      </c>
      <c r="H56" s="318"/>
    </row>
    <row r="57" spans="1:12" ht="18.75" x14ac:dyDescent="0.3">
      <c r="A57" s="315" t="s">
        <v>85</v>
      </c>
      <c r="B57" s="386">
        <f>Uniformity!C46</f>
        <v>1258.6945000000001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86</v>
      </c>
      <c r="B59" s="262">
        <v>200</v>
      </c>
      <c r="C59" s="238"/>
      <c r="D59" s="319" t="s">
        <v>87</v>
      </c>
      <c r="E59" s="320" t="s">
        <v>59</v>
      </c>
      <c r="F59" s="320" t="s">
        <v>60</v>
      </c>
      <c r="G59" s="320" t="s">
        <v>88</v>
      </c>
      <c r="H59" s="265" t="s">
        <v>89</v>
      </c>
      <c r="L59" s="251"/>
    </row>
    <row r="60" spans="1:12" s="3" customFormat="1" ht="26.25" customHeight="1" x14ac:dyDescent="0.4">
      <c r="A60" s="263" t="s">
        <v>90</v>
      </c>
      <c r="B60" s="264">
        <v>1</v>
      </c>
      <c r="C60" s="502" t="s">
        <v>91</v>
      </c>
      <c r="D60" s="505">
        <v>1256.6300000000001</v>
      </c>
      <c r="E60" s="321">
        <v>1</v>
      </c>
      <c r="F60" s="322">
        <v>15052839</v>
      </c>
      <c r="G60" s="387">
        <f>IF(ISBLANK(F60),"-",(F60/$D$50*$D$47*$B$68)*($B$57/$D$60))</f>
        <v>52.265521953763042</v>
      </c>
      <c r="H60" s="405">
        <f t="shared" ref="H60:H71" si="0">IF(ISBLANK(F60),"-",(G60/$B$56)*100)</f>
        <v>104.53104390752608</v>
      </c>
      <c r="L60" s="251"/>
    </row>
    <row r="61" spans="1:12" s="3" customFormat="1" ht="26.25" customHeight="1" x14ac:dyDescent="0.4">
      <c r="A61" s="263" t="s">
        <v>92</v>
      </c>
      <c r="B61" s="264">
        <v>1</v>
      </c>
      <c r="C61" s="503"/>
      <c r="D61" s="506"/>
      <c r="E61" s="323">
        <v>2</v>
      </c>
      <c r="F61" s="276">
        <v>15113359</v>
      </c>
      <c r="G61" s="388">
        <f>IF(ISBLANK(F61),"-",(F61/$D$50*$D$47*$B$68)*($B$57/$D$60))</f>
        <v>52.47565569588582</v>
      </c>
      <c r="H61" s="406">
        <f t="shared" si="0"/>
        <v>104.95131139177163</v>
      </c>
      <c r="L61" s="251"/>
    </row>
    <row r="62" spans="1:12" s="3" customFormat="1" ht="26.25" customHeight="1" x14ac:dyDescent="0.4">
      <c r="A62" s="263" t="s">
        <v>93</v>
      </c>
      <c r="B62" s="264">
        <v>1</v>
      </c>
      <c r="C62" s="503"/>
      <c r="D62" s="506"/>
      <c r="E62" s="323">
        <v>3</v>
      </c>
      <c r="F62" s="324">
        <v>15179015</v>
      </c>
      <c r="G62" s="388">
        <f>IF(ISBLANK(F62),"-",(F62/$D$50*$D$47*$B$68)*($B$57/$D$60))</f>
        <v>52.703622334564166</v>
      </c>
      <c r="H62" s="406">
        <f t="shared" si="0"/>
        <v>105.40724466912835</v>
      </c>
      <c r="L62" s="251"/>
    </row>
    <row r="63" spans="1:12" ht="27" customHeight="1" x14ac:dyDescent="0.4">
      <c r="A63" s="263" t="s">
        <v>94</v>
      </c>
      <c r="B63" s="264">
        <v>1</v>
      </c>
      <c r="C63" s="504"/>
      <c r="D63" s="507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95</v>
      </c>
      <c r="B64" s="264">
        <v>1</v>
      </c>
      <c r="C64" s="502" t="s">
        <v>96</v>
      </c>
      <c r="D64" s="505">
        <v>1248.94</v>
      </c>
      <c r="E64" s="321">
        <v>1</v>
      </c>
      <c r="F64" s="322">
        <v>14649204</v>
      </c>
      <c r="G64" s="387">
        <f>IF(ISBLANK(F64),"-",(F64/$D$50*$D$47*$B$68)*($B$57/$D$64))</f>
        <v>51.177227050983475</v>
      </c>
      <c r="H64" s="405">
        <f t="shared" si="0"/>
        <v>102.35445410196695</v>
      </c>
    </row>
    <row r="65" spans="1:8" ht="26.25" customHeight="1" x14ac:dyDescent="0.4">
      <c r="A65" s="263" t="s">
        <v>97</v>
      </c>
      <c r="B65" s="264">
        <v>1</v>
      </c>
      <c r="C65" s="503"/>
      <c r="D65" s="506"/>
      <c r="E65" s="323">
        <v>2</v>
      </c>
      <c r="F65" s="276">
        <v>14732021</v>
      </c>
      <c r="G65" s="388">
        <f>IF(ISBLANK(F65),"-",(F65/$D$50*$D$47*$B$68)*($B$57/$D$64))</f>
        <v>51.466549557017338</v>
      </c>
      <c r="H65" s="406">
        <f t="shared" si="0"/>
        <v>102.93309911403468</v>
      </c>
    </row>
    <row r="66" spans="1:8" ht="26.25" customHeight="1" x14ac:dyDescent="0.4">
      <c r="A66" s="263" t="s">
        <v>98</v>
      </c>
      <c r="B66" s="264">
        <v>1</v>
      </c>
      <c r="C66" s="503"/>
      <c r="D66" s="506"/>
      <c r="E66" s="323">
        <v>3</v>
      </c>
      <c r="F66" s="276">
        <v>14701195</v>
      </c>
      <c r="G66" s="388">
        <f>IF(ISBLANK(F66),"-",(F66/$D$50*$D$47*$B$68)*($B$57/$D$64))</f>
        <v>51.358858435979393</v>
      </c>
      <c r="H66" s="406">
        <f t="shared" si="0"/>
        <v>102.71771687195879</v>
      </c>
    </row>
    <row r="67" spans="1:8" ht="27" customHeight="1" x14ac:dyDescent="0.4">
      <c r="A67" s="263" t="s">
        <v>99</v>
      </c>
      <c r="B67" s="264">
        <v>1</v>
      </c>
      <c r="C67" s="504"/>
      <c r="D67" s="507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100</v>
      </c>
      <c r="B68" s="327">
        <f>(B67/B66)*(B65/B64)*(B63/B62)*(B61/B60)*B59</f>
        <v>200</v>
      </c>
      <c r="C68" s="502" t="s">
        <v>101</v>
      </c>
      <c r="D68" s="505">
        <v>1266.55</v>
      </c>
      <c r="E68" s="321">
        <v>1</v>
      </c>
      <c r="F68" s="322">
        <v>15002235</v>
      </c>
      <c r="G68" s="387">
        <f>IF(ISBLANK(F68),"-",(F68/$D$50*$D$47*$B$68)*($B$57/$D$68))</f>
        <v>51.6818348250995</v>
      </c>
      <c r="H68" s="406">
        <f t="shared" si="0"/>
        <v>103.36366965019901</v>
      </c>
    </row>
    <row r="69" spans="1:8" ht="27" customHeight="1" x14ac:dyDescent="0.4">
      <c r="A69" s="311" t="s">
        <v>102</v>
      </c>
      <c r="B69" s="328">
        <f>(D47*B68)/B56*B57</f>
        <v>1258.6945000000001</v>
      </c>
      <c r="C69" s="503"/>
      <c r="D69" s="506"/>
      <c r="E69" s="323">
        <v>2</v>
      </c>
      <c r="F69" s="276">
        <v>15039638</v>
      </c>
      <c r="G69" s="388">
        <f>IF(ISBLANK(F69),"-",(F69/$D$50*$D$47*$B$68)*($B$57/$D$68))</f>
        <v>51.810686004138056</v>
      </c>
      <c r="H69" s="406">
        <f t="shared" si="0"/>
        <v>103.6213720082761</v>
      </c>
    </row>
    <row r="70" spans="1:8" ht="26.25" customHeight="1" x14ac:dyDescent="0.4">
      <c r="A70" s="515" t="s">
        <v>75</v>
      </c>
      <c r="B70" s="516"/>
      <c r="C70" s="503"/>
      <c r="D70" s="506"/>
      <c r="E70" s="323">
        <v>3</v>
      </c>
      <c r="F70" s="276">
        <v>15024288</v>
      </c>
      <c r="G70" s="388">
        <f>IF(ISBLANK(F70),"-",(F70/$D$50*$D$47*$B$68)*($B$57/$D$68))</f>
        <v>51.757806138933603</v>
      </c>
      <c r="H70" s="406">
        <f t="shared" si="0"/>
        <v>103.51561227786721</v>
      </c>
    </row>
    <row r="71" spans="1:8" ht="27" customHeight="1" x14ac:dyDescent="0.4">
      <c r="A71" s="517"/>
      <c r="B71" s="518"/>
      <c r="C71" s="514"/>
      <c r="D71" s="507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68</v>
      </c>
      <c r="G72" s="393">
        <f>AVERAGE(G60:G71)</f>
        <v>51.855306888484932</v>
      </c>
      <c r="H72" s="408">
        <f>AVERAGE(H60:H71)</f>
        <v>103.71061377696986</v>
      </c>
    </row>
    <row r="73" spans="1:8" ht="26.25" customHeight="1" x14ac:dyDescent="0.4">
      <c r="C73" s="329"/>
      <c r="D73" s="329"/>
      <c r="E73" s="329"/>
      <c r="F73" s="332" t="s">
        <v>81</v>
      </c>
      <c r="G73" s="392">
        <f>STDEV(G60:G71)/G72</f>
        <v>1.00476404130887E-2</v>
      </c>
      <c r="H73" s="392">
        <f>STDEV(H60:H71)/H72</f>
        <v>1.0047640413088702E-2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103</v>
      </c>
      <c r="B76" s="336" t="s">
        <v>104</v>
      </c>
      <c r="C76" s="510" t="str">
        <f>B26</f>
        <v xml:space="preserve"> RITONAVIR</v>
      </c>
      <c r="D76" s="510"/>
      <c r="E76" s="337" t="s">
        <v>105</v>
      </c>
      <c r="F76" s="337"/>
      <c r="G76" s="338">
        <f>H72</f>
        <v>103.71061377696986</v>
      </c>
      <c r="H76" s="339"/>
    </row>
    <row r="77" spans="1:8" ht="18.75" x14ac:dyDescent="0.3">
      <c r="A77" s="246" t="s">
        <v>106</v>
      </c>
      <c r="B77" s="246" t="s">
        <v>107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96" t="str">
        <f>B26</f>
        <v xml:space="preserve"> RITONAVIR</v>
      </c>
      <c r="C79" s="496"/>
    </row>
    <row r="80" spans="1:8" ht="26.25" customHeight="1" x14ac:dyDescent="0.4">
      <c r="A80" s="248" t="s">
        <v>45</v>
      </c>
      <c r="B80" s="496" t="str">
        <f>B27</f>
        <v>R14-2</v>
      </c>
      <c r="C80" s="496"/>
    </row>
    <row r="81" spans="1:12" ht="27" customHeight="1" x14ac:dyDescent="0.4">
      <c r="A81" s="248" t="s">
        <v>6</v>
      </c>
      <c r="B81" s="340">
        <f>B28</f>
        <v>99.4</v>
      </c>
    </row>
    <row r="82" spans="1:12" s="3" customFormat="1" ht="27" customHeight="1" x14ac:dyDescent="0.4">
      <c r="A82" s="248" t="s">
        <v>46</v>
      </c>
      <c r="B82" s="250">
        <v>0</v>
      </c>
      <c r="C82" s="487" t="s">
        <v>47</v>
      </c>
      <c r="D82" s="488"/>
      <c r="E82" s="488"/>
      <c r="F82" s="488"/>
      <c r="G82" s="489"/>
      <c r="I82" s="251"/>
      <c r="J82" s="251"/>
      <c r="K82" s="251"/>
      <c r="L82" s="251"/>
    </row>
    <row r="83" spans="1:12" s="3" customFormat="1" ht="19.5" customHeight="1" x14ac:dyDescent="0.3">
      <c r="A83" s="248" t="s">
        <v>48</v>
      </c>
      <c r="B83" s="252">
        <f>B81-B82</f>
        <v>99.4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49</v>
      </c>
      <c r="B84" s="255">
        <v>1</v>
      </c>
      <c r="C84" s="490" t="s">
        <v>108</v>
      </c>
      <c r="D84" s="491"/>
      <c r="E84" s="491"/>
      <c r="F84" s="491"/>
      <c r="G84" s="491"/>
      <c r="H84" s="492"/>
      <c r="I84" s="251"/>
      <c r="J84" s="251"/>
      <c r="K84" s="251"/>
      <c r="L84" s="251"/>
    </row>
    <row r="85" spans="1:12" s="3" customFormat="1" ht="27" customHeight="1" x14ac:dyDescent="0.4">
      <c r="A85" s="248" t="s">
        <v>51</v>
      </c>
      <c r="B85" s="255">
        <v>1</v>
      </c>
      <c r="C85" s="490" t="s">
        <v>109</v>
      </c>
      <c r="D85" s="491"/>
      <c r="E85" s="491"/>
      <c r="F85" s="491"/>
      <c r="G85" s="491"/>
      <c r="H85" s="492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53</v>
      </c>
      <c r="B87" s="260">
        <f>B84/B85</f>
        <v>1</v>
      </c>
      <c r="C87" s="238" t="s">
        <v>54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55</v>
      </c>
      <c r="B89" s="262">
        <v>25</v>
      </c>
      <c r="D89" s="341" t="s">
        <v>56</v>
      </c>
      <c r="E89" s="342"/>
      <c r="F89" s="493" t="s">
        <v>57</v>
      </c>
      <c r="G89" s="495"/>
    </row>
    <row r="90" spans="1:12" ht="27" customHeight="1" x14ac:dyDescent="0.4">
      <c r="A90" s="263" t="s">
        <v>58</v>
      </c>
      <c r="B90" s="264">
        <v>10</v>
      </c>
      <c r="C90" s="343" t="s">
        <v>59</v>
      </c>
      <c r="D90" s="266" t="s">
        <v>60</v>
      </c>
      <c r="E90" s="267" t="s">
        <v>61</v>
      </c>
      <c r="F90" s="266" t="s">
        <v>60</v>
      </c>
      <c r="G90" s="344" t="s">
        <v>61</v>
      </c>
      <c r="I90" s="269" t="s">
        <v>62</v>
      </c>
    </row>
    <row r="91" spans="1:12" ht="26.25" customHeight="1" x14ac:dyDescent="0.4">
      <c r="A91" s="263" t="s">
        <v>63</v>
      </c>
      <c r="B91" s="264">
        <v>20</v>
      </c>
      <c r="C91" s="345">
        <v>1</v>
      </c>
      <c r="D91" s="271">
        <v>2687177</v>
      </c>
      <c r="E91" s="272">
        <f>IF(ISBLANK(D91),"-",$D$101/$D$98*D91)</f>
        <v>3364443.1803885833</v>
      </c>
      <c r="F91" s="271">
        <v>2901093</v>
      </c>
      <c r="G91" s="273">
        <f>IF(ISBLANK(F91),"-",$D$101/$F$98*F91)</f>
        <v>3269046.4020683235</v>
      </c>
      <c r="I91" s="274"/>
    </row>
    <row r="92" spans="1:12" ht="26.25" customHeight="1" x14ac:dyDescent="0.4">
      <c r="A92" s="263" t="s">
        <v>64</v>
      </c>
      <c r="B92" s="264">
        <v>2</v>
      </c>
      <c r="C92" s="330">
        <v>2</v>
      </c>
      <c r="D92" s="276">
        <v>2683142</v>
      </c>
      <c r="E92" s="277">
        <f>IF(ISBLANK(D92),"-",$D$101/$D$98*D92)</f>
        <v>3359391.213870238</v>
      </c>
      <c r="F92" s="276">
        <v>2899312</v>
      </c>
      <c r="G92" s="278">
        <f>IF(ISBLANK(F92),"-",$D$101/$F$98*F92)</f>
        <v>3267039.5130640469</v>
      </c>
      <c r="I92" s="497">
        <f>ABS((F96/D96*D95)-F95)/D95</f>
        <v>2.9994217206888461E-2</v>
      </c>
    </row>
    <row r="93" spans="1:12" ht="26.25" customHeight="1" x14ac:dyDescent="0.4">
      <c r="A93" s="263" t="s">
        <v>65</v>
      </c>
      <c r="B93" s="264">
        <v>10</v>
      </c>
      <c r="C93" s="330">
        <v>3</v>
      </c>
      <c r="D93" s="276">
        <v>2679040</v>
      </c>
      <c r="E93" s="277">
        <f>IF(ISBLANK(D93),"-",$D$101/$D$98*D93)</f>
        <v>3354255.3609189983</v>
      </c>
      <c r="F93" s="276">
        <v>2901893</v>
      </c>
      <c r="G93" s="278">
        <f>IF(ISBLANK(F93),"-",$D$101/$F$98*F93)</f>
        <v>3269947.868212861</v>
      </c>
      <c r="I93" s="497"/>
    </row>
    <row r="94" spans="1:12" ht="27" customHeight="1" x14ac:dyDescent="0.4">
      <c r="A94" s="263" t="s">
        <v>66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67</v>
      </c>
      <c r="B95" s="264">
        <v>1</v>
      </c>
      <c r="C95" s="348" t="s">
        <v>68</v>
      </c>
      <c r="D95" s="349">
        <f>AVERAGE(D91:D94)</f>
        <v>2683119.6666666665</v>
      </c>
      <c r="E95" s="287">
        <f>AVERAGE(E91:E94)</f>
        <v>3359363.25172594</v>
      </c>
      <c r="F95" s="350">
        <f>AVERAGE(F91:F94)</f>
        <v>2900766</v>
      </c>
      <c r="G95" s="351">
        <f>AVERAGE(G91:G94)</f>
        <v>3268677.9277817435</v>
      </c>
    </row>
    <row r="96" spans="1:12" ht="26.25" customHeight="1" x14ac:dyDescent="0.4">
      <c r="A96" s="263" t="s">
        <v>69</v>
      </c>
      <c r="B96" s="249">
        <v>1</v>
      </c>
      <c r="C96" s="352" t="s">
        <v>110</v>
      </c>
      <c r="D96" s="353">
        <v>11.16</v>
      </c>
      <c r="E96" s="279"/>
      <c r="F96" s="291">
        <v>12.4</v>
      </c>
    </row>
    <row r="97" spans="1:10" ht="26.25" customHeight="1" x14ac:dyDescent="0.4">
      <c r="A97" s="263" t="s">
        <v>71</v>
      </c>
      <c r="B97" s="249">
        <v>1</v>
      </c>
      <c r="C97" s="354" t="s">
        <v>111</v>
      </c>
      <c r="D97" s="355">
        <f>D96*$B$87</f>
        <v>11.16</v>
      </c>
      <c r="E97" s="294"/>
      <c r="F97" s="293">
        <f>F96*$B$87</f>
        <v>12.4</v>
      </c>
    </row>
    <row r="98" spans="1:10" ht="19.5" customHeight="1" x14ac:dyDescent="0.3">
      <c r="A98" s="263" t="s">
        <v>73</v>
      </c>
      <c r="B98" s="356">
        <f>(B97/B96)*(B95/B94)*(B93/B92)*(B91/B90)*B89</f>
        <v>250</v>
      </c>
      <c r="C98" s="354" t="s">
        <v>112</v>
      </c>
      <c r="D98" s="357">
        <f>D97*$B$83/100</f>
        <v>11.09304</v>
      </c>
      <c r="E98" s="297"/>
      <c r="F98" s="296">
        <f>F97*$B$83/100</f>
        <v>12.325600000000001</v>
      </c>
    </row>
    <row r="99" spans="1:10" ht="19.5" customHeight="1" x14ac:dyDescent="0.3">
      <c r="A99" s="498" t="s">
        <v>75</v>
      </c>
      <c r="B99" s="512"/>
      <c r="C99" s="354" t="s">
        <v>113</v>
      </c>
      <c r="D99" s="358">
        <f>D98/$B$98</f>
        <v>4.4372160000000001E-2</v>
      </c>
      <c r="E99" s="297"/>
      <c r="F99" s="300">
        <f>F98/$B$98</f>
        <v>4.9302400000000003E-2</v>
      </c>
      <c r="G99" s="359"/>
      <c r="H99" s="289"/>
    </row>
    <row r="100" spans="1:10" ht="19.5" customHeight="1" x14ac:dyDescent="0.3">
      <c r="A100" s="500"/>
      <c r="B100" s="513"/>
      <c r="C100" s="354" t="s">
        <v>77</v>
      </c>
      <c r="D100" s="360">
        <f>$B$56/$B$116</f>
        <v>5.5555555555555552E-2</v>
      </c>
      <c r="F100" s="305"/>
      <c r="G100" s="361"/>
      <c r="H100" s="289"/>
    </row>
    <row r="101" spans="1:10" ht="18.75" x14ac:dyDescent="0.3">
      <c r="C101" s="354" t="s">
        <v>78</v>
      </c>
      <c r="D101" s="355">
        <f>D100*$B$98</f>
        <v>13.888888888888888</v>
      </c>
      <c r="F101" s="305"/>
      <c r="G101" s="359"/>
      <c r="H101" s="289"/>
    </row>
    <row r="102" spans="1:10" ht="19.5" customHeight="1" x14ac:dyDescent="0.3">
      <c r="C102" s="362" t="s">
        <v>79</v>
      </c>
      <c r="D102" s="363">
        <f>D101/B34</f>
        <v>13.888888888888888</v>
      </c>
      <c r="F102" s="309"/>
      <c r="G102" s="359"/>
      <c r="H102" s="289"/>
      <c r="J102" s="364"/>
    </row>
    <row r="103" spans="1:10" ht="18.75" x14ac:dyDescent="0.3">
      <c r="C103" s="365" t="s">
        <v>114</v>
      </c>
      <c r="D103" s="366">
        <f>AVERAGE(E91:E94,G91:G94)</f>
        <v>3314020.589753842</v>
      </c>
      <c r="F103" s="309"/>
      <c r="G103" s="367"/>
      <c r="H103" s="289"/>
      <c r="J103" s="368"/>
    </row>
    <row r="104" spans="1:10" ht="18.75" x14ac:dyDescent="0.3">
      <c r="C104" s="332" t="s">
        <v>81</v>
      </c>
      <c r="D104" s="369">
        <f>STDEV(E91:E94,G91:G94)/D103</f>
        <v>1.5022138362637674E-2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115</v>
      </c>
      <c r="B107" s="262">
        <v>900</v>
      </c>
      <c r="C107" s="409" t="s">
        <v>116</v>
      </c>
      <c r="D107" s="409" t="s">
        <v>60</v>
      </c>
      <c r="E107" s="409" t="s">
        <v>117</v>
      </c>
      <c r="F107" s="371" t="s">
        <v>118</v>
      </c>
    </row>
    <row r="108" spans="1:10" ht="26.25" customHeight="1" x14ac:dyDescent="0.4">
      <c r="A108" s="263" t="s">
        <v>119</v>
      </c>
      <c r="B108" s="264">
        <v>1</v>
      </c>
      <c r="C108" s="414">
        <v>1</v>
      </c>
      <c r="D108" s="415">
        <v>3272106</v>
      </c>
      <c r="E108" s="389">
        <f t="shared" ref="E108:E113" si="1">IF(ISBLANK(D108),"-",D108/$D$103*$D$100*$B$116)</f>
        <v>49.36761723986519</v>
      </c>
      <c r="F108" s="416">
        <f t="shared" ref="F108:F113" si="2">IF(ISBLANK(D108), "-", (E108/$B$56)*100)</f>
        <v>98.73523447973038</v>
      </c>
    </row>
    <row r="109" spans="1:10" ht="26.25" customHeight="1" x14ac:dyDescent="0.4">
      <c r="A109" s="263" t="s">
        <v>92</v>
      </c>
      <c r="B109" s="264">
        <v>1</v>
      </c>
      <c r="C109" s="410">
        <v>2</v>
      </c>
      <c r="D109" s="412">
        <v>3249127</v>
      </c>
      <c r="E109" s="390">
        <f t="shared" si="1"/>
        <v>49.020923558011717</v>
      </c>
      <c r="F109" s="417">
        <f t="shared" si="2"/>
        <v>98.041847116023433</v>
      </c>
    </row>
    <row r="110" spans="1:10" ht="26.25" customHeight="1" x14ac:dyDescent="0.4">
      <c r="A110" s="263" t="s">
        <v>93</v>
      </c>
      <c r="B110" s="264">
        <v>1</v>
      </c>
      <c r="C110" s="410">
        <v>3</v>
      </c>
      <c r="D110" s="412">
        <v>3323974</v>
      </c>
      <c r="E110" s="390">
        <f t="shared" si="1"/>
        <v>50.150171219166999</v>
      </c>
      <c r="F110" s="417">
        <f t="shared" si="2"/>
        <v>100.30034243833398</v>
      </c>
    </row>
    <row r="111" spans="1:10" ht="26.25" customHeight="1" x14ac:dyDescent="0.4">
      <c r="A111" s="263" t="s">
        <v>94</v>
      </c>
      <c r="B111" s="264">
        <v>1</v>
      </c>
      <c r="C111" s="410">
        <v>4</v>
      </c>
      <c r="D111" s="412">
        <v>3232830</v>
      </c>
      <c r="E111" s="390">
        <f t="shared" si="1"/>
        <v>48.775043975211503</v>
      </c>
      <c r="F111" s="417">
        <f t="shared" si="2"/>
        <v>97.550087950423006</v>
      </c>
    </row>
    <row r="112" spans="1:10" ht="26.25" customHeight="1" x14ac:dyDescent="0.4">
      <c r="A112" s="263" t="s">
        <v>95</v>
      </c>
      <c r="B112" s="264">
        <v>1</v>
      </c>
      <c r="C112" s="410">
        <v>5</v>
      </c>
      <c r="D112" s="412">
        <v>3282365</v>
      </c>
      <c r="E112" s="390">
        <f t="shared" si="1"/>
        <v>49.522399018103357</v>
      </c>
      <c r="F112" s="417">
        <f t="shared" si="2"/>
        <v>99.044798036206714</v>
      </c>
    </row>
    <row r="113" spans="1:10" ht="27" customHeight="1" x14ac:dyDescent="0.4">
      <c r="A113" s="263" t="s">
        <v>97</v>
      </c>
      <c r="B113" s="264">
        <v>1</v>
      </c>
      <c r="C113" s="411">
        <v>6</v>
      </c>
      <c r="D113" s="413">
        <v>3318068</v>
      </c>
      <c r="E113" s="391">
        <f t="shared" si="1"/>
        <v>50.06106495322738</v>
      </c>
      <c r="F113" s="418">
        <f t="shared" si="2"/>
        <v>100.12212990645475</v>
      </c>
    </row>
    <row r="114" spans="1:10" ht="27" customHeight="1" x14ac:dyDescent="0.4">
      <c r="A114" s="263" t="s">
        <v>98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99</v>
      </c>
      <c r="B115" s="264">
        <v>1</v>
      </c>
      <c r="C115" s="372"/>
      <c r="D115" s="396" t="s">
        <v>68</v>
      </c>
      <c r="E115" s="398">
        <f>AVERAGE(E108:E113)</f>
        <v>49.482869993931025</v>
      </c>
      <c r="F115" s="420">
        <f>AVERAGE(F108:F113)</f>
        <v>98.965739987862051</v>
      </c>
    </row>
    <row r="116" spans="1:10" ht="27" customHeight="1" x14ac:dyDescent="0.4">
      <c r="A116" s="263" t="s">
        <v>100</v>
      </c>
      <c r="B116" s="295">
        <f>(B115/B114)*(B113/B112)*(B111/B110)*(B109/B108)*B107</f>
        <v>900</v>
      </c>
      <c r="C116" s="373"/>
      <c r="D116" s="397" t="s">
        <v>81</v>
      </c>
      <c r="E116" s="395">
        <f>STDEV(E108:E113)/E115</f>
        <v>1.1101568409725928E-2</v>
      </c>
      <c r="F116" s="374">
        <f>STDEV(F108:F113)/F115</f>
        <v>1.1101568409725864E-2</v>
      </c>
      <c r="I116" s="237"/>
    </row>
    <row r="117" spans="1:10" ht="27" customHeight="1" x14ac:dyDescent="0.4">
      <c r="A117" s="498" t="s">
        <v>75</v>
      </c>
      <c r="B117" s="499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00"/>
      <c r="B118" s="501"/>
      <c r="C118" s="237"/>
      <c r="D118" s="399"/>
      <c r="E118" s="479" t="s">
        <v>120</v>
      </c>
      <c r="F118" s="480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121</v>
      </c>
      <c r="E119" s="402">
        <f>MIN(E108:E113)</f>
        <v>48.775043975211503</v>
      </c>
      <c r="F119" s="421">
        <f>MIN(F108:F113)</f>
        <v>97.550087950423006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122</v>
      </c>
      <c r="E120" s="403">
        <f>MAX(E108:E113)</f>
        <v>50.150171219166999</v>
      </c>
      <c r="F120" s="422">
        <f>MAX(F108:F113)</f>
        <v>100.30034243833398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103</v>
      </c>
      <c r="B124" s="336" t="s">
        <v>123</v>
      </c>
      <c r="C124" s="510" t="str">
        <f>B26</f>
        <v xml:space="preserve"> RITONAVIR</v>
      </c>
      <c r="D124" s="510"/>
      <c r="E124" s="337" t="s">
        <v>124</v>
      </c>
      <c r="F124" s="337"/>
      <c r="G124" s="423">
        <f>F115</f>
        <v>98.965739987862051</v>
      </c>
      <c r="H124" s="237"/>
      <c r="I124" s="237"/>
    </row>
    <row r="125" spans="1:10" ht="45.75" customHeight="1" x14ac:dyDescent="0.65">
      <c r="A125" s="247"/>
      <c r="B125" s="336" t="s">
        <v>125</v>
      </c>
      <c r="C125" s="248" t="s">
        <v>126</v>
      </c>
      <c r="D125" s="423">
        <f>MIN(F108:F113)</f>
        <v>97.550087950423006</v>
      </c>
      <c r="E125" s="348" t="s">
        <v>127</v>
      </c>
      <c r="F125" s="423">
        <f>MAX(F108:F113)</f>
        <v>100.30034243833398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11" t="s">
        <v>23</v>
      </c>
      <c r="C127" s="511"/>
      <c r="E127" s="343" t="s">
        <v>24</v>
      </c>
      <c r="F127" s="378"/>
      <c r="G127" s="511" t="s">
        <v>25</v>
      </c>
      <c r="H127" s="511"/>
    </row>
    <row r="128" spans="1:10" ht="69.95" customHeight="1" x14ac:dyDescent="0.3">
      <c r="A128" s="379" t="s">
        <v>26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27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 Lopinavir</vt:lpstr>
      <vt:lpstr>SST Ritonavir</vt:lpstr>
      <vt:lpstr>Lopinavir</vt:lpstr>
      <vt:lpstr>Ritonavir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2017-03-29T07:05:42Z</dcterms:modified>
</cp:coreProperties>
</file>