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Sulfamethoxazole!$A$1:$I$129</definedName>
    <definedName name="_xlnm.Print_Area" localSheetId="4">Trimethoprim!$A$1:$I$130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9" i="2"/>
  <c r="C46" i="2"/>
  <c r="B57" i="4" s="1"/>
  <c r="C45" i="2"/>
  <c r="D43" i="2"/>
  <c r="D41" i="2"/>
  <c r="D39" i="2"/>
  <c r="D37" i="2"/>
  <c r="D35" i="2"/>
  <c r="D33" i="2"/>
  <c r="D31" i="2"/>
  <c r="D29" i="2"/>
  <c r="D27" i="2"/>
  <c r="D25" i="2"/>
  <c r="C19" i="2"/>
  <c r="D97" i="4" l="1"/>
  <c r="D101" i="4"/>
  <c r="G93" i="4" s="1"/>
  <c r="I92" i="4"/>
  <c r="I39" i="4"/>
  <c r="I92" i="3"/>
  <c r="F44" i="4"/>
  <c r="F45" i="4" s="1"/>
  <c r="D45" i="4"/>
  <c r="E40" i="4" s="1"/>
  <c r="D101" i="3"/>
  <c r="D102" i="3" s="1"/>
  <c r="F44" i="3"/>
  <c r="F45" i="3" s="1"/>
  <c r="D49" i="3"/>
  <c r="D45" i="3"/>
  <c r="D46" i="3" s="1"/>
  <c r="F98" i="3"/>
  <c r="F99" i="3" s="1"/>
  <c r="B69" i="4"/>
  <c r="D98" i="4"/>
  <c r="E91" i="4" s="1"/>
  <c r="E39" i="3"/>
  <c r="F98" i="4"/>
  <c r="D24" i="2"/>
  <c r="D28" i="2"/>
  <c r="D32" i="2"/>
  <c r="D36" i="2"/>
  <c r="D40" i="2"/>
  <c r="D49" i="2"/>
  <c r="B57" i="3"/>
  <c r="B69" i="3" s="1"/>
  <c r="D49" i="4"/>
  <c r="D102" i="4"/>
  <c r="C50" i="2"/>
  <c r="D97" i="3"/>
  <c r="D98" i="3" s="1"/>
  <c r="D99" i="3" s="1"/>
  <c r="E94" i="4"/>
  <c r="D26" i="2"/>
  <c r="D30" i="2"/>
  <c r="D34" i="2"/>
  <c r="D38" i="2"/>
  <c r="D42" i="2"/>
  <c r="B49" i="2"/>
  <c r="D50" i="2"/>
  <c r="E40" i="3"/>
  <c r="G92" i="4" l="1"/>
  <c r="E92" i="4"/>
  <c r="E38" i="3"/>
  <c r="G38" i="4"/>
  <c r="G40" i="4"/>
  <c r="F46" i="4"/>
  <c r="G41" i="4"/>
  <c r="G39" i="4"/>
  <c r="E38" i="4"/>
  <c r="E39" i="4"/>
  <c r="E41" i="4"/>
  <c r="D46" i="4"/>
  <c r="G40" i="3"/>
  <c r="F46" i="3"/>
  <c r="G38" i="3"/>
  <c r="G94" i="3"/>
  <c r="E41" i="3"/>
  <c r="G41" i="3"/>
  <c r="G91" i="3"/>
  <c r="G39" i="3"/>
  <c r="E94" i="3"/>
  <c r="F99" i="4"/>
  <c r="G91" i="4"/>
  <c r="G94" i="4"/>
  <c r="D99" i="4"/>
  <c r="E93" i="4"/>
  <c r="E93" i="3"/>
  <c r="G93" i="3"/>
  <c r="E92" i="3"/>
  <c r="E91" i="3"/>
  <c r="G92" i="3"/>
  <c r="E95" i="4" l="1"/>
  <c r="D105" i="4"/>
  <c r="E42" i="3"/>
  <c r="D50" i="4"/>
  <c r="G64" i="4" s="1"/>
  <c r="H64" i="4" s="1"/>
  <c r="G42" i="4"/>
  <c r="E42" i="4"/>
  <c r="G95" i="4"/>
  <c r="D52" i="4"/>
  <c r="D103" i="4"/>
  <c r="E109" i="4" s="1"/>
  <c r="F109" i="4" s="1"/>
  <c r="G42" i="3"/>
  <c r="G95" i="3"/>
  <c r="D52" i="3"/>
  <c r="D50" i="3"/>
  <c r="G63" i="3" s="1"/>
  <c r="H63" i="3" s="1"/>
  <c r="E95" i="3"/>
  <c r="D105" i="3"/>
  <c r="D103" i="3"/>
  <c r="E113" i="4"/>
  <c r="F113" i="4" s="1"/>
  <c r="E111" i="4"/>
  <c r="F111" i="4" s="1"/>
  <c r="E112" i="4"/>
  <c r="F112" i="4" s="1"/>
  <c r="D51" i="4"/>
  <c r="E110" i="4" l="1"/>
  <c r="F110" i="4" s="1"/>
  <c r="D104" i="4"/>
  <c r="E108" i="4"/>
  <c r="G71" i="4"/>
  <c r="H71" i="4" s="1"/>
  <c r="G61" i="4"/>
  <c r="H61" i="4" s="1"/>
  <c r="G69" i="4"/>
  <c r="H69" i="4" s="1"/>
  <c r="G67" i="4"/>
  <c r="H67" i="4" s="1"/>
  <c r="G68" i="4"/>
  <c r="H68" i="4" s="1"/>
  <c r="G70" i="4"/>
  <c r="H70" i="4" s="1"/>
  <c r="G60" i="4"/>
  <c r="G63" i="4"/>
  <c r="H63" i="4" s="1"/>
  <c r="G62" i="4"/>
  <c r="H62" i="4" s="1"/>
  <c r="G66" i="4"/>
  <c r="H66" i="4" s="1"/>
  <c r="G65" i="4"/>
  <c r="H65" i="4" s="1"/>
  <c r="G68" i="3"/>
  <c r="H68" i="3" s="1"/>
  <c r="G67" i="3"/>
  <c r="H67" i="3" s="1"/>
  <c r="G60" i="3"/>
  <c r="H60" i="3" s="1"/>
  <c r="G65" i="3"/>
  <c r="H65" i="3" s="1"/>
  <c r="G66" i="3"/>
  <c r="H66" i="3" s="1"/>
  <c r="G70" i="3"/>
  <c r="H70" i="3" s="1"/>
  <c r="G69" i="3"/>
  <c r="H69" i="3" s="1"/>
  <c r="D51" i="3"/>
  <c r="G62" i="3"/>
  <c r="H62" i="3" s="1"/>
  <c r="G71" i="3"/>
  <c r="H71" i="3" s="1"/>
  <c r="G61" i="3"/>
  <c r="H61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7" i="4" l="1"/>
  <c r="F108" i="4"/>
  <c r="F120" i="4" s="1"/>
  <c r="E119" i="4"/>
  <c r="E120" i="4"/>
  <c r="E115" i="4"/>
  <c r="E116" i="4" s="1"/>
  <c r="G74" i="4"/>
  <c r="H60" i="4"/>
  <c r="H74" i="4" s="1"/>
  <c r="G72" i="4"/>
  <c r="G73" i="4" s="1"/>
  <c r="G72" i="3"/>
  <c r="G73" i="3" s="1"/>
  <c r="G74" i="3"/>
  <c r="E115" i="3"/>
  <c r="E116" i="3" s="1"/>
  <c r="F108" i="3"/>
  <c r="E119" i="3"/>
  <c r="E117" i="3"/>
  <c r="E120" i="3"/>
  <c r="H74" i="3"/>
  <c r="H72" i="3"/>
  <c r="D125" i="4" l="1"/>
  <c r="F117" i="4"/>
  <c r="F125" i="4"/>
  <c r="F115" i="4"/>
  <c r="F116" i="4" s="1"/>
  <c r="F119" i="4"/>
  <c r="H72" i="4"/>
  <c r="G76" i="4" s="1"/>
  <c r="G76" i="3"/>
  <c r="H73" i="3"/>
  <c r="F119" i="3"/>
  <c r="F115" i="3"/>
  <c r="D125" i="3"/>
  <c r="F125" i="3"/>
  <c r="F120" i="3"/>
  <c r="F117" i="3"/>
  <c r="G124" i="4" l="1"/>
  <c r="H73" i="4"/>
  <c r="G124" i="3"/>
  <c r="F116" i="3"/>
</calcChain>
</file>

<file path=xl/sharedStrings.xml><?xml version="1.0" encoding="utf-8"?>
<sst xmlns="http://schemas.openxmlformats.org/spreadsheetml/2006/main" count="455" uniqueCount="141">
  <si>
    <t>HPLC System Suitability Report</t>
  </si>
  <si>
    <t>Analysis Data</t>
  </si>
  <si>
    <t>Assay</t>
  </si>
  <si>
    <t>Sample(s)</t>
  </si>
  <si>
    <t>Reference Substance:</t>
  </si>
  <si>
    <t>CO-TRIMOXAZOLE TABLETS</t>
  </si>
  <si>
    <t>% age Purity:</t>
  </si>
  <si>
    <t>NDQB201612288</t>
  </si>
  <si>
    <t>Weight (mg):</t>
  </si>
  <si>
    <t>Sulfamethoxazole &amp; Trimethoprim</t>
  </si>
  <si>
    <t>Standard Conc (mg/mL):</t>
  </si>
  <si>
    <t>Each tablet contains Sulfamethoxazole 800 mg and Trimethoprim 160 mg</t>
  </si>
  <si>
    <t>2016-12-15 12:27:07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</si>
  <si>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</si>
  <si>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</si>
  <si>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</si>
  <si>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</si>
  <si>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</si>
  <si>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</si>
  <si>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</si>
  <si>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</si>
  <si>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</si>
  <si>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</si>
  <si>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</si>
  <si>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</si>
  <si>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</si>
  <si>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</si>
  <si>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</si>
  <si>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</si>
  <si>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</si>
  <si>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</si>
  <si>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</si>
  <si>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</si>
  <si>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</si>
  <si>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</si>
  <si>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</si>
  <si>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</si>
  <si>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</si>
  <si>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</si>
  <si>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</si>
  <si>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</si>
  <si>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</si>
  <si>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</si>
  <si>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</si>
  <si>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</si>
  <si>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</si>
  <si>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</si>
  <si>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</si>
  <si>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</si>
  <si>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</si>
  <si>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</si>
  <si>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</si>
  <si>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</si>
  <si>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</si>
  <si>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</si>
  <si>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</si>
  <si>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</si>
  <si>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</si>
  <si>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</si>
  <si>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</si>
  <si>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</si>
  <si>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</si>
  <si>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</si>
  <si>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</si>
  <si>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</si>
  <si>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</si>
  <si>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</si>
  <si>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</si>
  <si>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</si>
  <si>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</si>
  <si>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</si>
  <si>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</si>
  <si>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</si>
  <si>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</si>
  <si>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</si>
  <si>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</si>
  <si>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</si>
  <si>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</si>
  <si>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</si>
  <si>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</si>
  <si>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</si>
  <si>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</si>
  <si>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</si>
  <si>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</si>
  <si>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</si>
  <si>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</si>
  <si>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</si>
  <si>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</si>
  <si>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</si>
  <si>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</si>
  <si>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</si>
  <si>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</si>
  <si>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</si>
  <si>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</si>
  <si>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</si>
  <si>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</si>
  <si>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</si>
  <si>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</si>
  <si>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</si>
  <si>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</si>
  <si>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</si>
  <si>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</si>
  <si>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</si>
  <si>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</si>
  <si>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</si>
  <si>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</si>
  <si>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</si>
  <si>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</si>
  <si>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</si>
  <si>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</si>
  <si>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</si>
  <si>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</si>
  <si>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</si>
  <si>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</si>
  <si>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</si>
  <si>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</si>
  <si>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</si>
  <si>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</si>
  <si>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</si>
  <si>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</si>
  <si>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</si>
  <si>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</si>
  <si>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</si>
  <si>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</si>
  <si>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</si>
  <si>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</si>
  <si>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</si>
  <si>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</si>
  <si>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</si>
  <si>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</si>
  <si>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</si>
  <si>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</si>
  <si>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NDQE201607046</t>
  </si>
  <si>
    <t xml:space="preserve"> Trimethoprim</t>
  </si>
  <si>
    <t>T7-4</t>
  </si>
  <si>
    <t>CO-TRI TABLETS</t>
  </si>
  <si>
    <t>Resolution(USP)</t>
  </si>
  <si>
    <t>Resolution between Sulfamethoxazole and Trimethoprim is NLT 5.0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</si>
  <si>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</si>
  <si>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RUTTO KENNEDY</t>
  </si>
  <si>
    <t>19/12/2016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</si>
</sst>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6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7" workbookViewId="0">
      <selection activeCell="B61" sqref="B61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27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513" t="s">
        <v>0</v>
      </c>
      <c r="B15" s="513"/>
      <c r="C15" s="513"/>
      <c r="D15" s="513"/>
      <c r="E15" s="513"/>
      <c r="F15" s="513"/>
    </row>
    <row r="16" spans="1:7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135</v>
      </c>
      <c r="D17" s="431"/>
      <c r="E17" s="431"/>
      <c r="F17" s="432"/>
    </row>
    <row r="18" spans="1:6" ht="16.5" customHeight="1" x14ac:dyDescent="0.3">
      <c r="A18" s="433" t="s">
        <v>4</v>
      </c>
      <c r="B18" s="430" t="s">
        <v>131</v>
      </c>
      <c r="C18" s="432"/>
      <c r="D18" s="432"/>
      <c r="E18" s="432"/>
      <c r="F18" s="432"/>
    </row>
    <row r="19" spans="1:6" ht="16.5" customHeight="1" x14ac:dyDescent="0.3">
      <c r="A19" s="433" t="s">
        <v>6</v>
      </c>
      <c r="B19" s="434">
        <v>99.28</v>
      </c>
      <c r="C19" s="432"/>
      <c r="D19" s="432"/>
      <c r="E19" s="432"/>
      <c r="F19" s="432"/>
    </row>
    <row r="20" spans="1:6" ht="16.5" customHeight="1" x14ac:dyDescent="0.3">
      <c r="A20" s="430" t="s">
        <v>8</v>
      </c>
      <c r="B20" s="434">
        <v>16.23</v>
      </c>
      <c r="C20" s="432"/>
      <c r="D20" s="432"/>
      <c r="E20" s="432"/>
      <c r="F20" s="432"/>
    </row>
    <row r="21" spans="1:6" ht="16.5" customHeight="1" x14ac:dyDescent="0.3">
      <c r="A21" s="430" t="s">
        <v>10</v>
      </c>
      <c r="B21" s="435">
        <f>16.23/100</f>
        <v>0.1623</v>
      </c>
      <c r="C21" s="432"/>
      <c r="D21" s="432"/>
      <c r="E21" s="432"/>
      <c r="F21" s="432"/>
    </row>
    <row r="22" spans="1:6" ht="15.75" customHeight="1" x14ac:dyDescent="0.25">
      <c r="A22" s="432"/>
      <c r="B22" s="432"/>
      <c r="C22" s="432"/>
      <c r="D22" s="432"/>
      <c r="E22" s="432"/>
      <c r="F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136</v>
      </c>
      <c r="F23" s="436" t="s">
        <v>17</v>
      </c>
    </row>
    <row r="24" spans="1:6" ht="16.5" customHeight="1" x14ac:dyDescent="0.3">
      <c r="A24" s="438">
        <v>1</v>
      </c>
      <c r="B24" s="439">
        <v>49875935</v>
      </c>
      <c r="C24" s="439">
        <v>10951.1</v>
      </c>
      <c r="D24" s="440">
        <v>1</v>
      </c>
      <c r="E24" s="440">
        <v>13.472849999999999</v>
      </c>
      <c r="F24" s="441">
        <v>5.9</v>
      </c>
    </row>
    <row r="25" spans="1:6" ht="16.5" customHeight="1" x14ac:dyDescent="0.3">
      <c r="A25" s="438">
        <v>2</v>
      </c>
      <c r="B25" s="439">
        <v>49918100</v>
      </c>
      <c r="C25" s="439">
        <v>10964.5</v>
      </c>
      <c r="D25" s="440">
        <v>1</v>
      </c>
      <c r="E25" s="440">
        <v>13.47883</v>
      </c>
      <c r="F25" s="440">
        <v>5.9</v>
      </c>
    </row>
    <row r="26" spans="1:6" ht="16.5" customHeight="1" x14ac:dyDescent="0.3">
      <c r="A26" s="438">
        <v>3</v>
      </c>
      <c r="B26" s="439">
        <v>49957335</v>
      </c>
      <c r="C26" s="439">
        <v>10937</v>
      </c>
      <c r="D26" s="440">
        <v>1</v>
      </c>
      <c r="E26" s="440">
        <v>13.451000000000001</v>
      </c>
      <c r="F26" s="440">
        <v>5.9</v>
      </c>
    </row>
    <row r="27" spans="1:6" ht="16.5" customHeight="1" x14ac:dyDescent="0.3">
      <c r="A27" s="438">
        <v>4</v>
      </c>
      <c r="B27" s="439">
        <v>49851115</v>
      </c>
      <c r="C27" s="439">
        <v>10953.6</v>
      </c>
      <c r="D27" s="440">
        <v>1</v>
      </c>
      <c r="E27" s="440">
        <v>13.44937</v>
      </c>
      <c r="F27" s="440">
        <v>5.9</v>
      </c>
    </row>
    <row r="28" spans="1:6" ht="16.5" customHeight="1" x14ac:dyDescent="0.3">
      <c r="A28" s="438">
        <v>5</v>
      </c>
      <c r="B28" s="439">
        <v>50015695</v>
      </c>
      <c r="C28" s="439">
        <v>10906.8</v>
      </c>
      <c r="D28" s="440">
        <v>1</v>
      </c>
      <c r="E28" s="440">
        <v>13.438420000000001</v>
      </c>
      <c r="F28" s="440">
        <v>5.9</v>
      </c>
    </row>
    <row r="29" spans="1:6" ht="16.5" customHeight="1" x14ac:dyDescent="0.3">
      <c r="A29" s="438">
        <v>6</v>
      </c>
      <c r="B29" s="442">
        <v>49997118</v>
      </c>
      <c r="C29" s="442">
        <v>11002.2</v>
      </c>
      <c r="D29" s="443">
        <v>1</v>
      </c>
      <c r="E29" s="443">
        <v>13.46275</v>
      </c>
      <c r="F29" s="443">
        <v>5.9</v>
      </c>
    </row>
    <row r="30" spans="1:6" ht="16.5" customHeight="1" x14ac:dyDescent="0.3">
      <c r="A30" s="444" t="s">
        <v>18</v>
      </c>
      <c r="B30" s="445">
        <f>AVERAGE(B24:B29)</f>
        <v>49935883</v>
      </c>
      <c r="C30" s="446">
        <f>AVERAGE(C24:C29)</f>
        <v>10952.533333333333</v>
      </c>
      <c r="D30" s="447">
        <f>AVERAGE(D24:D29)</f>
        <v>1</v>
      </c>
      <c r="E30" s="447">
        <v>13.46</v>
      </c>
      <c r="F30" s="447">
        <f>AVERAGE(F24:F29)</f>
        <v>5.8999999999999995</v>
      </c>
    </row>
    <row r="31" spans="1:6" ht="16.5" customHeight="1" x14ac:dyDescent="0.3">
      <c r="A31" s="448" t="s">
        <v>19</v>
      </c>
      <c r="B31" s="449">
        <f>(STDEV(B24:B29)/B30)</f>
        <v>1.3185197237397671E-3</v>
      </c>
      <c r="C31" s="450"/>
      <c r="D31" s="450"/>
      <c r="E31" s="450"/>
      <c r="F31" s="451"/>
    </row>
    <row r="32" spans="1:6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5" customFormat="1" ht="15.75" customHeight="1" x14ac:dyDescent="0.25">
      <c r="A33" s="432"/>
      <c r="B33" s="432"/>
      <c r="C33" s="432"/>
      <c r="D33" s="432"/>
      <c r="E33" s="432"/>
      <c r="F33" s="432"/>
    </row>
    <row r="34" spans="1:6" s="425" customFormat="1" ht="16.5" customHeight="1" x14ac:dyDescent="0.3">
      <c r="A34" s="433" t="s">
        <v>21</v>
      </c>
      <c r="B34" s="457" t="s">
        <v>22</v>
      </c>
      <c r="C34" s="458"/>
      <c r="D34" s="458"/>
      <c r="E34" s="458"/>
      <c r="F34" s="458"/>
    </row>
    <row r="35" spans="1:6" ht="16.5" customHeight="1" x14ac:dyDescent="0.3">
      <c r="A35" s="433"/>
      <c r="B35" s="457" t="s">
        <v>23</v>
      </c>
      <c r="C35" s="458"/>
      <c r="D35" s="458"/>
      <c r="E35" s="458"/>
      <c r="F35" s="458"/>
    </row>
    <row r="36" spans="1:6" ht="16.5" customHeight="1" x14ac:dyDescent="0.3">
      <c r="A36" s="433"/>
      <c r="B36" s="457" t="s">
        <v>24</v>
      </c>
      <c r="C36" s="458"/>
      <c r="D36" s="458"/>
      <c r="E36" s="458"/>
      <c r="F36" s="458"/>
    </row>
    <row r="37" spans="1:6" ht="15.75" customHeight="1" x14ac:dyDescent="0.25">
      <c r="A37" s="432"/>
      <c r="B37" s="432" t="s">
        <v>137</v>
      </c>
      <c r="C37" s="432"/>
      <c r="D37" s="432"/>
      <c r="E37" s="432"/>
      <c r="F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/>
      <c r="C39" s="432"/>
      <c r="D39" s="432"/>
      <c r="E39" s="432"/>
      <c r="F39" s="432"/>
    </row>
    <row r="40" spans="1:6" ht="16.5" customHeight="1" x14ac:dyDescent="0.3">
      <c r="A40" s="433" t="s">
        <v>6</v>
      </c>
      <c r="B40" s="434"/>
      <c r="C40" s="432"/>
      <c r="D40" s="432"/>
      <c r="E40" s="432"/>
      <c r="F40" s="432"/>
    </row>
    <row r="41" spans="1:6" ht="16.5" customHeight="1" x14ac:dyDescent="0.3">
      <c r="A41" s="430" t="s">
        <v>8</v>
      </c>
      <c r="B41" s="434"/>
      <c r="C41" s="432"/>
      <c r="D41" s="432"/>
      <c r="E41" s="432"/>
      <c r="F41" s="432"/>
    </row>
    <row r="42" spans="1:6" ht="16.5" customHeight="1" x14ac:dyDescent="0.3">
      <c r="A42" s="430" t="s">
        <v>10</v>
      </c>
      <c r="B42" s="435"/>
      <c r="C42" s="432"/>
      <c r="D42" s="432"/>
      <c r="E42" s="432"/>
      <c r="F42" s="432"/>
    </row>
    <row r="43" spans="1:6" ht="15.75" customHeight="1" x14ac:dyDescent="0.25">
      <c r="A43" s="432"/>
      <c r="B43" s="432"/>
      <c r="C43" s="432"/>
      <c r="D43" s="432"/>
      <c r="E43" s="432"/>
      <c r="F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/>
      <c r="F44" s="436" t="s">
        <v>17</v>
      </c>
    </row>
    <row r="45" spans="1:6" ht="16.5" customHeight="1" x14ac:dyDescent="0.3">
      <c r="A45" s="438">
        <v>1</v>
      </c>
      <c r="B45" s="439"/>
      <c r="C45" s="439"/>
      <c r="D45" s="440"/>
      <c r="E45" s="440"/>
      <c r="F45" s="441"/>
    </row>
    <row r="46" spans="1:6" ht="16.5" customHeight="1" x14ac:dyDescent="0.3">
      <c r="A46" s="438">
        <v>2</v>
      </c>
      <c r="B46" s="439"/>
      <c r="C46" s="439"/>
      <c r="D46" s="440"/>
      <c r="E46" s="440"/>
      <c r="F46" s="440"/>
    </row>
    <row r="47" spans="1:6" ht="16.5" customHeight="1" x14ac:dyDescent="0.3">
      <c r="A47" s="438">
        <v>3</v>
      </c>
      <c r="B47" s="439"/>
      <c r="C47" s="439"/>
      <c r="D47" s="440"/>
      <c r="E47" s="440"/>
      <c r="F47" s="440"/>
    </row>
    <row r="48" spans="1:6" ht="16.5" customHeight="1" x14ac:dyDescent="0.3">
      <c r="A48" s="438">
        <v>4</v>
      </c>
      <c r="B48" s="439"/>
      <c r="C48" s="439"/>
      <c r="D48" s="440"/>
      <c r="E48" s="440"/>
      <c r="F48" s="440"/>
    </row>
    <row r="49" spans="1:8" ht="16.5" customHeight="1" x14ac:dyDescent="0.3">
      <c r="A49" s="438">
        <v>5</v>
      </c>
      <c r="B49" s="439"/>
      <c r="C49" s="439"/>
      <c r="D49" s="440"/>
      <c r="E49" s="440"/>
      <c r="F49" s="440"/>
    </row>
    <row r="50" spans="1:8" ht="16.5" customHeight="1" x14ac:dyDescent="0.3">
      <c r="A50" s="438">
        <v>6</v>
      </c>
      <c r="B50" s="442"/>
      <c r="C50" s="442"/>
      <c r="D50" s="443"/>
      <c r="E50" s="443"/>
      <c r="F50" s="443"/>
    </row>
    <row r="51" spans="1:8" ht="16.5" customHeight="1" x14ac:dyDescent="0.3">
      <c r="A51" s="444" t="s">
        <v>18</v>
      </c>
      <c r="B51" s="445" t="e">
        <f>AVERAGE(B45:B50)</f>
        <v>#DIV/0!</v>
      </c>
      <c r="C51" s="446" t="e">
        <f>AVERAGE(C45:C50)</f>
        <v>#DIV/0!</v>
      </c>
      <c r="D51" s="447" t="e">
        <f>AVERAGE(D45:D50)</f>
        <v>#DIV/0!</v>
      </c>
      <c r="E51" s="447"/>
      <c r="F51" s="447" t="e">
        <f>AVERAGE(F45:F50)</f>
        <v>#DIV/0!</v>
      </c>
    </row>
    <row r="52" spans="1:8" ht="16.5" customHeight="1" x14ac:dyDescent="0.3">
      <c r="A52" s="448" t="s">
        <v>19</v>
      </c>
      <c r="B52" s="449" t="e">
        <f>(STDEV(B45:B50)/B51)</f>
        <v>#DIV/0!</v>
      </c>
      <c r="C52" s="450"/>
      <c r="D52" s="450"/>
      <c r="E52" s="450"/>
      <c r="F52" s="451"/>
    </row>
    <row r="53" spans="1:8" s="425" customFormat="1" ht="16.5" customHeight="1" x14ac:dyDescent="0.3">
      <c r="A53" s="452" t="s">
        <v>20</v>
      </c>
      <c r="B53" s="453">
        <f>COUNT(B45:B50)</f>
        <v>0</v>
      </c>
      <c r="C53" s="454"/>
      <c r="D53" s="455"/>
      <c r="E53" s="455"/>
      <c r="F53" s="456"/>
    </row>
    <row r="54" spans="1:8" s="425" customFormat="1" ht="15.75" customHeight="1" x14ac:dyDescent="0.25">
      <c r="A54" s="432"/>
      <c r="B54" s="432"/>
      <c r="C54" s="432"/>
      <c r="D54" s="432"/>
      <c r="E54" s="432"/>
      <c r="F54" s="432"/>
    </row>
    <row r="55" spans="1:8" s="425" customFormat="1" ht="16.5" customHeight="1" x14ac:dyDescent="0.3">
      <c r="A55" s="433" t="s">
        <v>21</v>
      </c>
      <c r="B55" s="457" t="s">
        <v>22</v>
      </c>
      <c r="C55" s="458"/>
      <c r="D55" s="458"/>
      <c r="E55" s="458"/>
      <c r="F55" s="458"/>
    </row>
    <row r="56" spans="1:8" ht="16.5" customHeight="1" x14ac:dyDescent="0.3">
      <c r="A56" s="433"/>
      <c r="B56" s="457" t="s">
        <v>23</v>
      </c>
      <c r="C56" s="458"/>
      <c r="D56" s="458"/>
      <c r="E56" s="458"/>
      <c r="F56" s="458"/>
    </row>
    <row r="57" spans="1:8" ht="16.5" customHeight="1" x14ac:dyDescent="0.3">
      <c r="A57" s="433"/>
      <c r="B57" s="457" t="s">
        <v>24</v>
      </c>
      <c r="C57" s="458"/>
      <c r="D57" s="458"/>
      <c r="E57" s="458"/>
      <c r="F57" s="458"/>
    </row>
    <row r="58" spans="1:8" ht="14.25" customHeight="1" thickBot="1" x14ac:dyDescent="0.35">
      <c r="A58" s="459"/>
      <c r="B58" s="460" t="s">
        <v>138</v>
      </c>
      <c r="D58" s="461"/>
      <c r="E58" s="462"/>
      <c r="G58" s="427"/>
      <c r="H58" s="427"/>
    </row>
    <row r="59" spans="1:8" ht="15" customHeight="1" x14ac:dyDescent="0.3">
      <c r="B59" s="514" t="s">
        <v>26</v>
      </c>
      <c r="C59" s="514"/>
      <c r="F59" s="463" t="s">
        <v>27</v>
      </c>
      <c r="G59" s="464"/>
      <c r="H59" s="463" t="s">
        <v>28</v>
      </c>
    </row>
    <row r="60" spans="1:8" ht="15" customHeight="1" x14ac:dyDescent="0.3">
      <c r="A60" s="465" t="s">
        <v>29</v>
      </c>
      <c r="B60" s="466" t="s">
        <v>139</v>
      </c>
      <c r="C60" s="466"/>
      <c r="F60" s="466" t="s">
        <v>140</v>
      </c>
      <c r="H60" s="466"/>
    </row>
    <row r="61" spans="1:8" ht="15" customHeight="1" x14ac:dyDescent="0.3">
      <c r="A61" s="465" t="s">
        <v>30</v>
      </c>
      <c r="B61" s="467"/>
      <c r="C61" s="467"/>
      <c r="F61" s="467"/>
      <c r="H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B61" sqref="B61"/>
    </sheetView>
  </sheetViews>
  <sheetFormatPr defaultRowHeight="13.5" x14ac:dyDescent="0.25"/>
  <cols>
    <col min="1" max="1" width="27.5703125" style="470" customWidth="1"/>
    <col min="2" max="2" width="20.42578125" style="470" customWidth="1"/>
    <col min="3" max="3" width="31.85546875" style="470" customWidth="1"/>
    <col min="4" max="4" width="25.85546875" style="470" customWidth="1"/>
    <col min="5" max="5" width="25.7109375" style="470" customWidth="1"/>
    <col min="6" max="6" width="23.140625" style="470" customWidth="1"/>
    <col min="7" max="7" width="28.42578125" style="470" customWidth="1"/>
    <col min="8" max="8" width="21.5703125" style="470" customWidth="1"/>
    <col min="9" max="9" width="9.140625" style="470" customWidth="1"/>
    <col min="10" max="16384" width="9.140625" style="472"/>
  </cols>
  <sheetData>
    <row r="14" spans="1:6" ht="15" customHeight="1" x14ac:dyDescent="0.3">
      <c r="A14" s="469"/>
      <c r="C14" s="471"/>
      <c r="F14" s="471"/>
    </row>
    <row r="15" spans="1:6" ht="18.75" customHeight="1" x14ac:dyDescent="0.3">
      <c r="A15" s="515" t="s">
        <v>0</v>
      </c>
      <c r="B15" s="515"/>
      <c r="C15" s="515"/>
      <c r="D15" s="515"/>
      <c r="E15" s="515"/>
    </row>
    <row r="16" spans="1:6" ht="16.5" customHeight="1" x14ac:dyDescent="0.3">
      <c r="A16" s="473" t="s">
        <v>1</v>
      </c>
      <c r="B16" s="474" t="s">
        <v>2</v>
      </c>
    </row>
    <row r="17" spans="1:5" ht="16.5" customHeight="1" x14ac:dyDescent="0.3">
      <c r="A17" s="475" t="s">
        <v>3</v>
      </c>
      <c r="B17" s="475" t="s">
        <v>135</v>
      </c>
      <c r="D17" s="476"/>
      <c r="E17" s="477"/>
    </row>
    <row r="18" spans="1:5" ht="16.5" customHeight="1" x14ac:dyDescent="0.3">
      <c r="A18" s="478" t="s">
        <v>4</v>
      </c>
      <c r="B18" s="475" t="s">
        <v>133</v>
      </c>
      <c r="C18" s="477"/>
      <c r="D18" s="477"/>
      <c r="E18" s="477"/>
    </row>
    <row r="19" spans="1:5" ht="16.5" customHeight="1" x14ac:dyDescent="0.3">
      <c r="A19" s="478" t="s">
        <v>6</v>
      </c>
      <c r="B19" s="479">
        <v>99.3</v>
      </c>
      <c r="C19" s="477"/>
      <c r="D19" s="477"/>
      <c r="E19" s="477"/>
    </row>
    <row r="20" spans="1:5" ht="16.5" customHeight="1" x14ac:dyDescent="0.3">
      <c r="A20" s="475" t="s">
        <v>8</v>
      </c>
      <c r="B20" s="479">
        <v>19.18</v>
      </c>
      <c r="C20" s="477"/>
      <c r="D20" s="477"/>
      <c r="E20" s="477"/>
    </row>
    <row r="21" spans="1:5" ht="16.5" customHeight="1" x14ac:dyDescent="0.3">
      <c r="A21" s="475" t="s">
        <v>10</v>
      </c>
      <c r="B21" s="480">
        <f>19.18/25*4/100</f>
        <v>3.0688E-2</v>
      </c>
      <c r="C21" s="477"/>
      <c r="D21" s="477"/>
      <c r="E21" s="477"/>
    </row>
    <row r="22" spans="1:5" ht="15.75" customHeight="1" x14ac:dyDescent="0.25">
      <c r="A22" s="477"/>
      <c r="B22" s="477"/>
      <c r="C22" s="477"/>
      <c r="D22" s="477"/>
      <c r="E22" s="477"/>
    </row>
    <row r="23" spans="1:5" ht="16.5" customHeight="1" x14ac:dyDescent="0.3">
      <c r="A23" s="481" t="s">
        <v>13</v>
      </c>
      <c r="B23" s="482" t="s">
        <v>14</v>
      </c>
      <c r="C23" s="481" t="s">
        <v>15</v>
      </c>
      <c r="D23" s="481" t="s">
        <v>16</v>
      </c>
      <c r="E23" s="481" t="s">
        <v>17</v>
      </c>
    </row>
    <row r="24" spans="1:5" ht="16.5" customHeight="1" x14ac:dyDescent="0.3">
      <c r="A24" s="483">
        <v>1</v>
      </c>
      <c r="B24" s="484">
        <v>3591472</v>
      </c>
      <c r="C24" s="484">
        <v>7957.4</v>
      </c>
      <c r="D24" s="485">
        <v>1.1000000000000001</v>
      </c>
      <c r="E24" s="486">
        <v>3.4</v>
      </c>
    </row>
    <row r="25" spans="1:5" ht="16.5" customHeight="1" x14ac:dyDescent="0.3">
      <c r="A25" s="483">
        <v>2</v>
      </c>
      <c r="B25" s="484">
        <v>3591443</v>
      </c>
      <c r="C25" s="484">
        <v>7960.5</v>
      </c>
      <c r="D25" s="485">
        <v>1.1000000000000001</v>
      </c>
      <c r="E25" s="485">
        <v>3.4</v>
      </c>
    </row>
    <row r="26" spans="1:5" ht="16.5" customHeight="1" x14ac:dyDescent="0.3">
      <c r="A26" s="483">
        <v>3</v>
      </c>
      <c r="B26" s="484">
        <v>3592607</v>
      </c>
      <c r="C26" s="484">
        <v>7973.9</v>
      </c>
      <c r="D26" s="485">
        <v>1</v>
      </c>
      <c r="E26" s="485">
        <v>3.4</v>
      </c>
    </row>
    <row r="27" spans="1:5" ht="16.5" customHeight="1" x14ac:dyDescent="0.3">
      <c r="A27" s="483">
        <v>4</v>
      </c>
      <c r="B27" s="484">
        <v>3583759</v>
      </c>
      <c r="C27" s="484">
        <v>7955.9</v>
      </c>
      <c r="D27" s="485">
        <v>1</v>
      </c>
      <c r="E27" s="485">
        <v>3.4</v>
      </c>
    </row>
    <row r="28" spans="1:5" ht="16.5" customHeight="1" x14ac:dyDescent="0.3">
      <c r="A28" s="483">
        <v>5</v>
      </c>
      <c r="B28" s="484">
        <v>3592894</v>
      </c>
      <c r="C28" s="484">
        <v>7932</v>
      </c>
      <c r="D28" s="485">
        <v>1</v>
      </c>
      <c r="E28" s="485">
        <v>3.4</v>
      </c>
    </row>
    <row r="29" spans="1:5" ht="16.5" customHeight="1" x14ac:dyDescent="0.3">
      <c r="A29" s="483">
        <v>6</v>
      </c>
      <c r="B29" s="487">
        <v>3591056</v>
      </c>
      <c r="C29" s="487">
        <v>7956.8</v>
      </c>
      <c r="D29" s="488">
        <v>1.1000000000000001</v>
      </c>
      <c r="E29" s="488">
        <v>3.4</v>
      </c>
    </row>
    <row r="30" spans="1:5" ht="16.5" customHeight="1" x14ac:dyDescent="0.3">
      <c r="A30" s="489" t="s">
        <v>18</v>
      </c>
      <c r="B30" s="490">
        <f>AVERAGE(B24:B29)</f>
        <v>3590538.5</v>
      </c>
      <c r="C30" s="491">
        <f>AVERAGE(C24:C29)</f>
        <v>7956.083333333333</v>
      </c>
      <c r="D30" s="492">
        <f>AVERAGE(D24:D29)</f>
        <v>1.05</v>
      </c>
      <c r="E30" s="492">
        <f>AVERAGE(E24:E29)</f>
        <v>3.4</v>
      </c>
    </row>
    <row r="31" spans="1:5" ht="16.5" customHeight="1" x14ac:dyDescent="0.3">
      <c r="A31" s="493" t="s">
        <v>19</v>
      </c>
      <c r="B31" s="494">
        <f>(STDEV(B24:B29)/B30)</f>
        <v>9.4649106665656822E-4</v>
      </c>
      <c r="C31" s="495"/>
      <c r="D31" s="495"/>
      <c r="E31" s="496"/>
    </row>
    <row r="32" spans="1:5" s="470" customFormat="1" ht="16.5" customHeight="1" x14ac:dyDescent="0.3">
      <c r="A32" s="497" t="s">
        <v>20</v>
      </c>
      <c r="B32" s="498">
        <f>COUNT(B24:B29)</f>
        <v>6</v>
      </c>
      <c r="C32" s="499"/>
      <c r="D32" s="500"/>
      <c r="E32" s="501"/>
    </row>
    <row r="33" spans="1:5" s="470" customFormat="1" ht="15.75" customHeight="1" x14ac:dyDescent="0.25">
      <c r="A33" s="477"/>
      <c r="B33" s="477"/>
      <c r="C33" s="477"/>
      <c r="D33" s="477"/>
      <c r="E33" s="477"/>
    </row>
    <row r="34" spans="1:5" s="470" customFormat="1" ht="16.5" customHeight="1" x14ac:dyDescent="0.3">
      <c r="A34" s="478" t="s">
        <v>21</v>
      </c>
      <c r="B34" s="502" t="s">
        <v>22</v>
      </c>
      <c r="C34" s="503"/>
      <c r="D34" s="503"/>
      <c r="E34" s="503"/>
    </row>
    <row r="35" spans="1:5" ht="16.5" customHeight="1" x14ac:dyDescent="0.3">
      <c r="A35" s="478"/>
      <c r="B35" s="502" t="s">
        <v>23</v>
      </c>
      <c r="C35" s="503"/>
      <c r="D35" s="503"/>
      <c r="E35" s="503"/>
    </row>
    <row r="36" spans="1:5" ht="16.5" customHeight="1" x14ac:dyDescent="0.3">
      <c r="A36" s="478"/>
      <c r="B36" s="502" t="s">
        <v>24</v>
      </c>
      <c r="C36" s="503"/>
      <c r="D36" s="503"/>
      <c r="E36" s="503"/>
    </row>
    <row r="37" spans="1:5" ht="15.75" customHeight="1" x14ac:dyDescent="0.25">
      <c r="A37" s="477"/>
      <c r="B37" s="477"/>
      <c r="C37" s="477"/>
      <c r="D37" s="477"/>
      <c r="E37" s="477"/>
    </row>
    <row r="38" spans="1:5" ht="16.5" customHeight="1" x14ac:dyDescent="0.3">
      <c r="A38" s="473" t="s">
        <v>1</v>
      </c>
      <c r="B38" s="474" t="s">
        <v>25</v>
      </c>
    </row>
    <row r="39" spans="1:5" ht="16.5" customHeight="1" x14ac:dyDescent="0.3">
      <c r="A39" s="478" t="s">
        <v>4</v>
      </c>
      <c r="B39" s="475"/>
      <c r="C39" s="477"/>
      <c r="D39" s="477"/>
      <c r="E39" s="477"/>
    </row>
    <row r="40" spans="1:5" ht="16.5" customHeight="1" x14ac:dyDescent="0.3">
      <c r="A40" s="478" t="s">
        <v>6</v>
      </c>
      <c r="B40" s="479"/>
      <c r="C40" s="477"/>
      <c r="D40" s="477"/>
      <c r="E40" s="477"/>
    </row>
    <row r="41" spans="1:5" ht="16.5" customHeight="1" x14ac:dyDescent="0.3">
      <c r="A41" s="475" t="s">
        <v>8</v>
      </c>
      <c r="B41" s="479"/>
      <c r="C41" s="477"/>
      <c r="D41" s="477"/>
      <c r="E41" s="477"/>
    </row>
    <row r="42" spans="1:5" ht="16.5" customHeight="1" x14ac:dyDescent="0.3">
      <c r="A42" s="475" t="s">
        <v>10</v>
      </c>
      <c r="B42" s="480"/>
      <c r="C42" s="477"/>
      <c r="D42" s="477"/>
      <c r="E42" s="477"/>
    </row>
    <row r="43" spans="1:5" ht="15.75" customHeight="1" x14ac:dyDescent="0.25">
      <c r="A43" s="477"/>
      <c r="B43" s="477"/>
      <c r="C43" s="477"/>
      <c r="D43" s="477"/>
      <c r="E43" s="477"/>
    </row>
    <row r="44" spans="1:5" ht="16.5" customHeight="1" x14ac:dyDescent="0.3">
      <c r="A44" s="481" t="s">
        <v>13</v>
      </c>
      <c r="B44" s="482" t="s">
        <v>14</v>
      </c>
      <c r="C44" s="481" t="s">
        <v>15</v>
      </c>
      <c r="D44" s="481" t="s">
        <v>16</v>
      </c>
      <c r="E44" s="481" t="s">
        <v>17</v>
      </c>
    </row>
    <row r="45" spans="1:5" ht="16.5" customHeight="1" x14ac:dyDescent="0.3">
      <c r="A45" s="483">
        <v>1</v>
      </c>
      <c r="B45" s="484"/>
      <c r="C45" s="484"/>
      <c r="D45" s="485"/>
      <c r="E45" s="486"/>
    </row>
    <row r="46" spans="1:5" ht="16.5" customHeight="1" x14ac:dyDescent="0.3">
      <c r="A46" s="483">
        <v>2</v>
      </c>
      <c r="B46" s="484"/>
      <c r="C46" s="484"/>
      <c r="D46" s="485"/>
      <c r="E46" s="485"/>
    </row>
    <row r="47" spans="1:5" ht="16.5" customHeight="1" x14ac:dyDescent="0.3">
      <c r="A47" s="483">
        <v>3</v>
      </c>
      <c r="B47" s="484"/>
      <c r="C47" s="484"/>
      <c r="D47" s="485"/>
      <c r="E47" s="485"/>
    </row>
    <row r="48" spans="1:5" ht="16.5" customHeight="1" x14ac:dyDescent="0.3">
      <c r="A48" s="483">
        <v>4</v>
      </c>
      <c r="B48" s="484"/>
      <c r="C48" s="484"/>
      <c r="D48" s="485"/>
      <c r="E48" s="485"/>
    </row>
    <row r="49" spans="1:7" ht="16.5" customHeight="1" x14ac:dyDescent="0.3">
      <c r="A49" s="483">
        <v>5</v>
      </c>
      <c r="B49" s="484"/>
      <c r="C49" s="484"/>
      <c r="D49" s="485"/>
      <c r="E49" s="485"/>
    </row>
    <row r="50" spans="1:7" ht="16.5" customHeight="1" x14ac:dyDescent="0.3">
      <c r="A50" s="483">
        <v>6</v>
      </c>
      <c r="B50" s="487"/>
      <c r="C50" s="487"/>
      <c r="D50" s="488"/>
      <c r="E50" s="488"/>
    </row>
    <row r="51" spans="1:7" ht="16.5" customHeight="1" x14ac:dyDescent="0.3">
      <c r="A51" s="489" t="s">
        <v>18</v>
      </c>
      <c r="B51" s="490" t="e">
        <f>AVERAGE(B45:B50)</f>
        <v>#DIV/0!</v>
      </c>
      <c r="C51" s="491" t="e">
        <f>AVERAGE(C45:C50)</f>
        <v>#DIV/0!</v>
      </c>
      <c r="D51" s="492" t="e">
        <f>AVERAGE(D45:D50)</f>
        <v>#DIV/0!</v>
      </c>
      <c r="E51" s="492" t="e">
        <f>AVERAGE(E45:E50)</f>
        <v>#DIV/0!</v>
      </c>
    </row>
    <row r="52" spans="1:7" ht="16.5" customHeight="1" x14ac:dyDescent="0.3">
      <c r="A52" s="493" t="s">
        <v>19</v>
      </c>
      <c r="B52" s="494" t="e">
        <f>(STDEV(B45:B50)/B51)</f>
        <v>#DIV/0!</v>
      </c>
      <c r="C52" s="495"/>
      <c r="D52" s="495"/>
      <c r="E52" s="496"/>
    </row>
    <row r="53" spans="1:7" s="470" customFormat="1" ht="16.5" customHeight="1" x14ac:dyDescent="0.3">
      <c r="A53" s="497" t="s">
        <v>20</v>
      </c>
      <c r="B53" s="498">
        <f>COUNT(B45:B50)</f>
        <v>0</v>
      </c>
      <c r="C53" s="499"/>
      <c r="D53" s="500"/>
      <c r="E53" s="501"/>
    </row>
    <row r="54" spans="1:7" s="470" customFormat="1" ht="15.75" customHeight="1" x14ac:dyDescent="0.25">
      <c r="A54" s="477"/>
      <c r="B54" s="477"/>
      <c r="C54" s="477"/>
      <c r="D54" s="477"/>
      <c r="E54" s="477"/>
    </row>
    <row r="55" spans="1:7" s="470" customFormat="1" ht="16.5" customHeight="1" x14ac:dyDescent="0.3">
      <c r="A55" s="478" t="s">
        <v>21</v>
      </c>
      <c r="B55" s="502" t="s">
        <v>22</v>
      </c>
      <c r="C55" s="503"/>
      <c r="D55" s="503"/>
      <c r="E55" s="503"/>
    </row>
    <row r="56" spans="1:7" ht="16.5" customHeight="1" x14ac:dyDescent="0.3">
      <c r="A56" s="478"/>
      <c r="B56" s="502" t="s">
        <v>23</v>
      </c>
      <c r="C56" s="503"/>
      <c r="D56" s="503"/>
      <c r="E56" s="503"/>
    </row>
    <row r="57" spans="1:7" ht="16.5" customHeight="1" x14ac:dyDescent="0.3">
      <c r="A57" s="478"/>
      <c r="B57" s="502" t="s">
        <v>24</v>
      </c>
      <c r="C57" s="503"/>
      <c r="D57" s="503"/>
      <c r="E57" s="503"/>
    </row>
    <row r="58" spans="1:7" ht="14.25" customHeight="1" thickBot="1" x14ac:dyDescent="0.3">
      <c r="A58" s="504"/>
      <c r="B58" s="505"/>
      <c r="D58" s="506"/>
      <c r="F58" s="472"/>
      <c r="G58" s="472"/>
    </row>
    <row r="59" spans="1:7" ht="15" customHeight="1" x14ac:dyDescent="0.3">
      <c r="B59" s="516" t="s">
        <v>26</v>
      </c>
      <c r="C59" s="516"/>
      <c r="E59" s="507" t="s">
        <v>27</v>
      </c>
      <c r="F59" s="508"/>
      <c r="G59" s="507" t="s">
        <v>28</v>
      </c>
    </row>
    <row r="60" spans="1:7" ht="15" customHeight="1" x14ac:dyDescent="0.3">
      <c r="A60" s="509" t="s">
        <v>29</v>
      </c>
      <c r="B60" s="510" t="s">
        <v>139</v>
      </c>
      <c r="C60" s="510"/>
      <c r="E60" s="510" t="s">
        <v>140</v>
      </c>
      <c r="G60" s="510"/>
    </row>
    <row r="61" spans="1:7" ht="15" customHeight="1" x14ac:dyDescent="0.3">
      <c r="A61" s="509" t="s">
        <v>30</v>
      </c>
      <c r="B61" s="511"/>
      <c r="C61" s="511"/>
      <c r="E61" s="511"/>
      <c r="G61" s="5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0" t="s">
        <v>31</v>
      </c>
      <c r="B11" s="521"/>
      <c r="C11" s="521"/>
      <c r="D11" s="521"/>
      <c r="E11" s="521"/>
      <c r="F11" s="522"/>
      <c r="G11" s="43"/>
    </row>
    <row r="12" spans="1:7" ht="16.5" customHeight="1" x14ac:dyDescent="0.3">
      <c r="A12" s="519" t="s">
        <v>32</v>
      </c>
      <c r="B12" s="519"/>
      <c r="C12" s="519"/>
      <c r="D12" s="519"/>
      <c r="E12" s="519"/>
      <c r="F12" s="519"/>
      <c r="G12" s="42"/>
    </row>
    <row r="14" spans="1:7" ht="16.5" customHeight="1" x14ac:dyDescent="0.3">
      <c r="A14" s="524" t="s">
        <v>33</v>
      </c>
      <c r="B14" s="524"/>
      <c r="C14" s="12" t="s">
        <v>5</v>
      </c>
    </row>
    <row r="15" spans="1:7" ht="16.5" customHeight="1" x14ac:dyDescent="0.3">
      <c r="A15" s="524" t="s">
        <v>34</v>
      </c>
      <c r="B15" s="524"/>
      <c r="C15" s="12" t="s">
        <v>7</v>
      </c>
    </row>
    <row r="16" spans="1:7" ht="16.5" customHeight="1" x14ac:dyDescent="0.3">
      <c r="A16" s="524" t="s">
        <v>35</v>
      </c>
      <c r="B16" s="524"/>
      <c r="C16" s="12" t="s">
        <v>9</v>
      </c>
    </row>
    <row r="17" spans="1:5" ht="16.5" customHeight="1" x14ac:dyDescent="0.3">
      <c r="A17" s="524" t="s">
        <v>36</v>
      </c>
      <c r="B17" s="524"/>
      <c r="C17" s="12" t="s">
        <v>11</v>
      </c>
    </row>
    <row r="18" spans="1:5" ht="16.5" customHeight="1" x14ac:dyDescent="0.3">
      <c r="A18" s="524" t="s">
        <v>37</v>
      </c>
      <c r="B18" s="524"/>
      <c r="C18" s="49" t="s">
        <v>12</v>
      </c>
    </row>
    <row r="19" spans="1:5" ht="16.5" customHeight="1" x14ac:dyDescent="0.3">
      <c r="A19" s="524" t="s">
        <v>38</v>
      </c>
      <c r="B19" s="52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9" t="s">
        <v>1</v>
      </c>
      <c r="B21" s="519"/>
      <c r="C21" s="11" t="s">
        <v>39</v>
      </c>
      <c r="D21" s="18"/>
    </row>
    <row r="22" spans="1:5" ht="15.75" customHeight="1" x14ac:dyDescent="0.3">
      <c r="A22" s="523"/>
      <c r="B22" s="523"/>
      <c r="C22" s="9"/>
      <c r="D22" s="523"/>
      <c r="E22" s="52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1050.1300000000001</v>
      </c>
      <c r="D24" s="39">
        <f t="shared" ref="D24:D43" si="0">(C24-$C$46)/$C$46</f>
        <v>5.2664655425352716E-3</v>
      </c>
      <c r="E24" s="5"/>
    </row>
    <row r="25" spans="1:5" ht="15.75" customHeight="1" x14ac:dyDescent="0.3">
      <c r="C25" s="47">
        <v>1052.51</v>
      </c>
      <c r="D25" s="40">
        <f t="shared" si="0"/>
        <v>7.5447874531473997E-3</v>
      </c>
      <c r="E25" s="5"/>
    </row>
    <row r="26" spans="1:5" ht="15.75" customHeight="1" x14ac:dyDescent="0.3">
      <c r="C26" s="47">
        <v>1039.4100000000001</v>
      </c>
      <c r="D26" s="40">
        <f t="shared" si="0"/>
        <v>-4.9955558363568705E-3</v>
      </c>
      <c r="E26" s="5"/>
    </row>
    <row r="27" spans="1:5" ht="15.75" customHeight="1" x14ac:dyDescent="0.3">
      <c r="C27" s="47">
        <v>1039.6500000000001</v>
      </c>
      <c r="D27" s="40">
        <f t="shared" si="0"/>
        <v>-4.7658090890682321E-3</v>
      </c>
      <c r="E27" s="5"/>
    </row>
    <row r="28" spans="1:5" ht="15.75" customHeight="1" x14ac:dyDescent="0.3">
      <c r="C28" s="47">
        <v>1035.29</v>
      </c>
      <c r="D28" s="40">
        <f t="shared" si="0"/>
        <v>-8.9395416648117895E-3</v>
      </c>
      <c r="E28" s="5"/>
    </row>
    <row r="29" spans="1:5" ht="15.75" customHeight="1" x14ac:dyDescent="0.3">
      <c r="C29" s="47">
        <v>1059.56</v>
      </c>
      <c r="D29" s="40">
        <f t="shared" si="0"/>
        <v>1.4293598154750847E-2</v>
      </c>
      <c r="E29" s="5"/>
    </row>
    <row r="30" spans="1:5" ht="15.75" customHeight="1" x14ac:dyDescent="0.3">
      <c r="C30" s="47">
        <v>1050.47</v>
      </c>
      <c r="D30" s="40">
        <f t="shared" si="0"/>
        <v>5.5919401011940845E-3</v>
      </c>
      <c r="E30" s="5"/>
    </row>
    <row r="31" spans="1:5" ht="15.75" customHeight="1" x14ac:dyDescent="0.3">
      <c r="C31" s="47">
        <v>1044.44</v>
      </c>
      <c r="D31" s="40">
        <f t="shared" si="0"/>
        <v>-1.8044692443270409E-4</v>
      </c>
      <c r="E31" s="5"/>
    </row>
    <row r="32" spans="1:5" ht="15.75" customHeight="1" x14ac:dyDescent="0.3">
      <c r="C32" s="47">
        <v>1046.1600000000001</v>
      </c>
      <c r="D32" s="40">
        <f t="shared" si="0"/>
        <v>1.466071431135833E-3</v>
      </c>
      <c r="E32" s="5"/>
    </row>
    <row r="33" spans="1:7" ht="15.75" customHeight="1" x14ac:dyDescent="0.3">
      <c r="C33" s="47">
        <v>1033.6500000000001</v>
      </c>
      <c r="D33" s="40">
        <f t="shared" si="0"/>
        <v>-1.0509477771283969E-2</v>
      </c>
      <c r="E33" s="5"/>
    </row>
    <row r="34" spans="1:7" ht="15.75" customHeight="1" x14ac:dyDescent="0.3">
      <c r="C34" s="47">
        <v>1044.03</v>
      </c>
      <c r="D34" s="40">
        <f t="shared" si="0"/>
        <v>-5.7293095105085778E-4</v>
      </c>
      <c r="E34" s="5"/>
    </row>
    <row r="35" spans="1:7" ht="15.75" customHeight="1" x14ac:dyDescent="0.3">
      <c r="C35" s="47">
        <v>1032.99</v>
      </c>
      <c r="D35" s="40">
        <f t="shared" si="0"/>
        <v>-1.1141281326327777E-2</v>
      </c>
      <c r="E35" s="5"/>
    </row>
    <row r="36" spans="1:7" ht="15.75" customHeight="1" x14ac:dyDescent="0.3">
      <c r="C36" s="47">
        <v>1045.93</v>
      </c>
      <c r="D36" s="40">
        <f t="shared" si="0"/>
        <v>1.2458974649842125E-3</v>
      </c>
      <c r="E36" s="5"/>
    </row>
    <row r="37" spans="1:7" ht="15.75" customHeight="1" x14ac:dyDescent="0.3">
      <c r="C37" s="47">
        <v>1051.8699999999999</v>
      </c>
      <c r="D37" s="40">
        <f t="shared" si="0"/>
        <v>6.9321294603776262E-3</v>
      </c>
      <c r="E37" s="5"/>
    </row>
    <row r="38" spans="1:7" ht="15.75" customHeight="1" x14ac:dyDescent="0.3">
      <c r="C38" s="47">
        <v>1044.3800000000001</v>
      </c>
      <c r="D38" s="40">
        <f t="shared" si="0"/>
        <v>-2.3788361125480921E-4</v>
      </c>
      <c r="E38" s="5"/>
    </row>
    <row r="39" spans="1:7" ht="15.75" customHeight="1" x14ac:dyDescent="0.3">
      <c r="C39" s="47">
        <v>1043.01</v>
      </c>
      <c r="D39" s="40">
        <f t="shared" si="0"/>
        <v>-1.5493546270275154E-3</v>
      </c>
      <c r="E39" s="5"/>
    </row>
    <row r="40" spans="1:7" ht="15.75" customHeight="1" x14ac:dyDescent="0.3">
      <c r="C40" s="47">
        <v>1038.94</v>
      </c>
      <c r="D40" s="40">
        <f t="shared" si="0"/>
        <v>-5.4454765497971291E-3</v>
      </c>
      <c r="E40" s="5"/>
    </row>
    <row r="41" spans="1:7" ht="15.75" customHeight="1" x14ac:dyDescent="0.3">
      <c r="C41" s="47">
        <v>1047.1099999999999</v>
      </c>
      <c r="D41" s="40">
        <f t="shared" si="0"/>
        <v>2.3754856391531506E-3</v>
      </c>
      <c r="E41" s="5"/>
    </row>
    <row r="42" spans="1:7" ht="15.75" customHeight="1" x14ac:dyDescent="0.3">
      <c r="C42" s="47">
        <v>1050.03</v>
      </c>
      <c r="D42" s="40">
        <f t="shared" si="0"/>
        <v>5.1707377311648785E-3</v>
      </c>
      <c r="E42" s="5"/>
    </row>
    <row r="43" spans="1:7" ht="16.5" customHeight="1" x14ac:dyDescent="0.3">
      <c r="C43" s="48">
        <v>1043.01</v>
      </c>
      <c r="D43" s="41">
        <f t="shared" si="0"/>
        <v>-1.5493546270275154E-3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20892.569999999996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1044.6284999999998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7">
        <f>C46</f>
        <v>1044.6284999999998</v>
      </c>
      <c r="C49" s="45">
        <f>-IF(C46&lt;=80,10%,IF(C46&lt;250,7.5%,5%))</f>
        <v>-0.05</v>
      </c>
      <c r="D49" s="33">
        <f>IF(C46&lt;=80,C46*0.9,IF(C46&lt;250,C46*0.925,C46*0.95))</f>
        <v>992.39707499999975</v>
      </c>
    </row>
    <row r="50" spans="1:6" ht="17.25" customHeight="1" x14ac:dyDescent="0.3">
      <c r="B50" s="518"/>
      <c r="C50" s="46">
        <f>IF(C46&lt;=80, 10%, IF(C46&lt;250, 7.5%, 5%))</f>
        <v>0.05</v>
      </c>
      <c r="D50" s="33">
        <f>IF(C46&lt;=80, C46*1.1, IF(C46&lt;250, C46*1.075, C46*1.05))</f>
        <v>1096.8599249999997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5" t="s">
        <v>45</v>
      </c>
      <c r="B1" s="555"/>
      <c r="C1" s="555"/>
      <c r="D1" s="555"/>
      <c r="E1" s="555"/>
      <c r="F1" s="555"/>
      <c r="G1" s="555"/>
      <c r="H1" s="555"/>
      <c r="I1" s="555"/>
    </row>
    <row r="2" spans="1:9" ht="18.7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</row>
    <row r="3" spans="1:9" ht="18.7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</row>
    <row r="4" spans="1:9" ht="18.75" customHeight="1" x14ac:dyDescent="0.25">
      <c r="A4" s="555"/>
      <c r="B4" s="555"/>
      <c r="C4" s="555"/>
      <c r="D4" s="555"/>
      <c r="E4" s="555"/>
      <c r="F4" s="555"/>
      <c r="G4" s="555"/>
      <c r="H4" s="555"/>
      <c r="I4" s="555"/>
    </row>
    <row r="5" spans="1:9" ht="18.75" customHeight="1" x14ac:dyDescent="0.25">
      <c r="A5" s="555"/>
      <c r="B5" s="555"/>
      <c r="C5" s="555"/>
      <c r="D5" s="555"/>
      <c r="E5" s="555"/>
      <c r="F5" s="555"/>
      <c r="G5" s="555"/>
      <c r="H5" s="555"/>
      <c r="I5" s="555"/>
    </row>
    <row r="6" spans="1:9" ht="18.75" customHeight="1" x14ac:dyDescent="0.25">
      <c r="A6" s="555"/>
      <c r="B6" s="555"/>
      <c r="C6" s="555"/>
      <c r="D6" s="555"/>
      <c r="E6" s="555"/>
      <c r="F6" s="555"/>
      <c r="G6" s="555"/>
      <c r="H6" s="555"/>
      <c r="I6" s="555"/>
    </row>
    <row r="7" spans="1:9" ht="18.75" customHeight="1" x14ac:dyDescent="0.25">
      <c r="A7" s="555"/>
      <c r="B7" s="555"/>
      <c r="C7" s="555"/>
      <c r="D7" s="555"/>
      <c r="E7" s="555"/>
      <c r="F7" s="555"/>
      <c r="G7" s="555"/>
      <c r="H7" s="555"/>
      <c r="I7" s="555"/>
    </row>
    <row r="8" spans="1:9" x14ac:dyDescent="0.25">
      <c r="A8" s="556" t="s">
        <v>46</v>
      </c>
      <c r="B8" s="556"/>
      <c r="C8" s="556"/>
      <c r="D8" s="556"/>
      <c r="E8" s="556"/>
      <c r="F8" s="556"/>
      <c r="G8" s="556"/>
      <c r="H8" s="556"/>
      <c r="I8" s="556"/>
    </row>
    <row r="9" spans="1:9" x14ac:dyDescent="0.25">
      <c r="A9" s="556"/>
      <c r="B9" s="556"/>
      <c r="C9" s="556"/>
      <c r="D9" s="556"/>
      <c r="E9" s="556"/>
      <c r="F9" s="556"/>
      <c r="G9" s="556"/>
      <c r="H9" s="556"/>
      <c r="I9" s="556"/>
    </row>
    <row r="10" spans="1:9" x14ac:dyDescent="0.25">
      <c r="A10" s="556"/>
      <c r="B10" s="556"/>
      <c r="C10" s="556"/>
      <c r="D10" s="556"/>
      <c r="E10" s="556"/>
      <c r="F10" s="556"/>
      <c r="G10" s="556"/>
      <c r="H10" s="556"/>
      <c r="I10" s="556"/>
    </row>
    <row r="11" spans="1:9" x14ac:dyDescent="0.25">
      <c r="A11" s="556"/>
      <c r="B11" s="556"/>
      <c r="C11" s="556"/>
      <c r="D11" s="556"/>
      <c r="E11" s="556"/>
      <c r="F11" s="556"/>
      <c r="G11" s="556"/>
      <c r="H11" s="556"/>
      <c r="I11" s="556"/>
    </row>
    <row r="12" spans="1:9" x14ac:dyDescent="0.25">
      <c r="A12" s="556"/>
      <c r="B12" s="556"/>
      <c r="C12" s="556"/>
      <c r="D12" s="556"/>
      <c r="E12" s="556"/>
      <c r="F12" s="556"/>
      <c r="G12" s="556"/>
      <c r="H12" s="556"/>
      <c r="I12" s="556"/>
    </row>
    <row r="13" spans="1:9" x14ac:dyDescent="0.25">
      <c r="A13" s="556"/>
      <c r="B13" s="556"/>
      <c r="C13" s="556"/>
      <c r="D13" s="556"/>
      <c r="E13" s="556"/>
      <c r="F13" s="556"/>
      <c r="G13" s="556"/>
      <c r="H13" s="556"/>
      <c r="I13" s="556"/>
    </row>
    <row r="14" spans="1:9" x14ac:dyDescent="0.25">
      <c r="A14" s="556"/>
      <c r="B14" s="556"/>
      <c r="C14" s="556"/>
      <c r="D14" s="556"/>
      <c r="E14" s="556"/>
      <c r="F14" s="556"/>
      <c r="G14" s="556"/>
      <c r="H14" s="556"/>
      <c r="I14" s="556"/>
    </row>
    <row r="15" spans="1:9" ht="19.5" customHeight="1" x14ac:dyDescent="0.3">
      <c r="A15" s="50"/>
    </row>
    <row r="16" spans="1:9" ht="19.5" customHeight="1" x14ac:dyDescent="0.3">
      <c r="A16" s="528" t="s">
        <v>31</v>
      </c>
      <c r="B16" s="529"/>
      <c r="C16" s="529"/>
      <c r="D16" s="529"/>
      <c r="E16" s="529"/>
      <c r="F16" s="529"/>
      <c r="G16" s="529"/>
      <c r="H16" s="530"/>
    </row>
    <row r="17" spans="1:14" ht="20.25" customHeight="1" x14ac:dyDescent="0.25">
      <c r="A17" s="531" t="s">
        <v>47</v>
      </c>
      <c r="B17" s="531"/>
      <c r="C17" s="531"/>
      <c r="D17" s="531"/>
      <c r="E17" s="531"/>
      <c r="F17" s="531"/>
      <c r="G17" s="531"/>
      <c r="H17" s="531"/>
    </row>
    <row r="18" spans="1:14" ht="26.25" customHeight="1" x14ac:dyDescent="0.4">
      <c r="A18" s="52" t="s">
        <v>33</v>
      </c>
      <c r="B18" s="527" t="s">
        <v>5</v>
      </c>
      <c r="C18" s="527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32" t="s">
        <v>131</v>
      </c>
      <c r="C20" s="53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32" t="s">
        <v>11</v>
      </c>
      <c r="C21" s="532"/>
      <c r="D21" s="532"/>
      <c r="E21" s="532"/>
      <c r="F21" s="532"/>
      <c r="G21" s="532"/>
      <c r="H21" s="532"/>
      <c r="I21" s="56"/>
    </row>
    <row r="22" spans="1:14" ht="26.25" customHeight="1" x14ac:dyDescent="0.4">
      <c r="A22" s="52" t="s">
        <v>37</v>
      </c>
      <c r="B22" s="57">
        <v>42718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42720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27" t="s">
        <v>131</v>
      </c>
      <c r="C26" s="527"/>
    </row>
    <row r="27" spans="1:14" ht="26.25" customHeight="1" x14ac:dyDescent="0.4">
      <c r="A27" s="61" t="s">
        <v>48</v>
      </c>
      <c r="B27" s="533" t="s">
        <v>132</v>
      </c>
      <c r="C27" s="533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534" t="s">
        <v>50</v>
      </c>
      <c r="D29" s="535"/>
      <c r="E29" s="535"/>
      <c r="F29" s="535"/>
      <c r="G29" s="53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7" t="s">
        <v>53</v>
      </c>
      <c r="D31" s="538"/>
      <c r="E31" s="538"/>
      <c r="F31" s="538"/>
      <c r="G31" s="538"/>
      <c r="H31" s="53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7" t="s">
        <v>55</v>
      </c>
      <c r="D32" s="538"/>
      <c r="E32" s="538"/>
      <c r="F32" s="538"/>
      <c r="G32" s="538"/>
      <c r="H32" s="53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40" t="s">
        <v>59</v>
      </c>
      <c r="E36" s="541"/>
      <c r="F36" s="540" t="s">
        <v>60</v>
      </c>
      <c r="G36" s="54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50184865</v>
      </c>
      <c r="E38" s="85">
        <f>IF(ISBLANK(D38),"-",$D$48/$D$45*D38)</f>
        <v>49832474.655473821</v>
      </c>
      <c r="F38" s="84">
        <v>48151933</v>
      </c>
      <c r="G38" s="86">
        <f>IF(ISBLANK(F38),"-",$D$48/$F$45*F38)</f>
        <v>50522022.100792378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49955358</v>
      </c>
      <c r="E39" s="90">
        <f>IF(ISBLANK(D39),"-",$D$48/$D$45*D39)</f>
        <v>49604579.218059495</v>
      </c>
      <c r="F39" s="89">
        <v>48294927</v>
      </c>
      <c r="G39" s="91">
        <f>IF(ISBLANK(F39),"-",$D$48/$F$45*F39)</f>
        <v>50672054.416800976</v>
      </c>
      <c r="I39" s="544">
        <f>ABS((F43/D43*D42)-F42)/D42</f>
        <v>1.6837810439397347E-2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49901476</v>
      </c>
      <c r="E40" s="90">
        <f>IF(ISBLANK(D40),"-",$D$48/$D$45*D40)</f>
        <v>49551075.569113024</v>
      </c>
      <c r="F40" s="89">
        <v>48078312</v>
      </c>
      <c r="G40" s="91">
        <f>IF(ISBLANK(F40),"-",$D$48/$F$45*F40)</f>
        <v>50444777.397260278</v>
      </c>
      <c r="I40" s="54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50013899.666666664</v>
      </c>
      <c r="E42" s="100">
        <f>AVERAGE(E38:E41)</f>
        <v>49662709.814215444</v>
      </c>
      <c r="F42" s="99">
        <f>AVERAGE(F38:F41)</f>
        <v>48175057.333333336</v>
      </c>
      <c r="G42" s="101">
        <f>AVERAGE(G38:G41)</f>
        <v>50546284.638284542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16.23</v>
      </c>
      <c r="E43" s="92"/>
      <c r="F43" s="104">
        <v>15.36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16.23</v>
      </c>
      <c r="E44" s="107"/>
      <c r="F44" s="106">
        <f>F43*$B$34</f>
        <v>15.36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16.113143999999998</v>
      </c>
      <c r="E45" s="110"/>
      <c r="F45" s="109">
        <f>F44*$B$30/100</f>
        <v>15.249407999999999</v>
      </c>
      <c r="H45" s="102"/>
    </row>
    <row r="46" spans="1:14" ht="19.5" customHeight="1" x14ac:dyDescent="0.3">
      <c r="A46" s="545" t="s">
        <v>78</v>
      </c>
      <c r="B46" s="546"/>
      <c r="C46" s="105" t="s">
        <v>79</v>
      </c>
      <c r="D46" s="111">
        <f>D45/$B$45</f>
        <v>0.16113143999999999</v>
      </c>
      <c r="E46" s="112"/>
      <c r="F46" s="113">
        <f>F45/$B$45</f>
        <v>0.15249407999999998</v>
      </c>
      <c r="H46" s="102"/>
    </row>
    <row r="47" spans="1:14" ht="27" customHeight="1" x14ac:dyDescent="0.4">
      <c r="A47" s="547"/>
      <c r="B47" s="548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50104497.226249993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9.9488758200228858E-3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Sulfamethoxazole 800 mg and Trimethoprim 160 mg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1044.6284999999998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9" t="s">
        <v>94</v>
      </c>
      <c r="D60" s="552">
        <v>202.32</v>
      </c>
      <c r="E60" s="134">
        <v>1</v>
      </c>
      <c r="F60" s="135">
        <v>48041497</v>
      </c>
      <c r="G60" s="200">
        <f>IF(ISBLANK(F60),"-",(F60/$D$50*$D$47*$B$68)*($B$57/$D$60))</f>
        <v>792.10519176012986</v>
      </c>
      <c r="H60" s="218">
        <f t="shared" ref="H60:H71" si="0">IF(ISBLANK(F60),"-",(G60/$B$56)*100)</f>
        <v>99.013148970016232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50"/>
      <c r="D61" s="553"/>
      <c r="E61" s="136">
        <v>2</v>
      </c>
      <c r="F61" s="89">
        <v>48163731</v>
      </c>
      <c r="G61" s="201">
        <f>IF(ISBLANK(F61),"-",(F61/$D$50*$D$47*$B$68)*($B$57/$D$60))</f>
        <v>794.12057829168623</v>
      </c>
      <c r="H61" s="219">
        <f t="shared" si="0"/>
        <v>99.265072286460779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50"/>
      <c r="D62" s="553"/>
      <c r="E62" s="136">
        <v>3</v>
      </c>
      <c r="F62" s="137">
        <v>48220045</v>
      </c>
      <c r="G62" s="201">
        <f>IF(ISBLANK(F62),"-",(F62/$D$50*$D$47*$B$68)*($B$57/$D$60))</f>
        <v>795.04907999447005</v>
      </c>
      <c r="H62" s="219">
        <f t="shared" si="0"/>
        <v>99.381134999308756</v>
      </c>
      <c r="L62" s="64"/>
    </row>
    <row r="63" spans="1:12" ht="27" customHeight="1" x14ac:dyDescent="0.4">
      <c r="A63" s="76" t="s">
        <v>97</v>
      </c>
      <c r="B63" s="77">
        <v>1</v>
      </c>
      <c r="C63" s="551"/>
      <c r="D63" s="554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9" t="s">
        <v>99</v>
      </c>
      <c r="D64" s="552">
        <v>207.67</v>
      </c>
      <c r="E64" s="134">
        <v>1</v>
      </c>
      <c r="F64" s="135">
        <v>49447602</v>
      </c>
      <c r="G64" s="200">
        <f>IF(ISBLANK(F64),"-",(F64/$D$50*$D$47*$B$68)*($B$57/$D$64))</f>
        <v>794.28546718204905</v>
      </c>
      <c r="H64" s="218">
        <f t="shared" si="0"/>
        <v>99.285683397756131</v>
      </c>
    </row>
    <row r="65" spans="1:8" ht="26.25" customHeight="1" x14ac:dyDescent="0.4">
      <c r="A65" s="76" t="s">
        <v>100</v>
      </c>
      <c r="B65" s="77">
        <v>1</v>
      </c>
      <c r="C65" s="550"/>
      <c r="D65" s="553"/>
      <c r="E65" s="136">
        <v>2</v>
      </c>
      <c r="F65" s="89">
        <v>49759849</v>
      </c>
      <c r="G65" s="201">
        <f>IF(ISBLANK(F65),"-",(F65/$D$50*$D$47*$B$68)*($B$57/$D$64))</f>
        <v>799.30114527845478</v>
      </c>
      <c r="H65" s="219">
        <f t="shared" si="0"/>
        <v>99.912643159806848</v>
      </c>
    </row>
    <row r="66" spans="1:8" ht="26.25" customHeight="1" x14ac:dyDescent="0.4">
      <c r="A66" s="76" t="s">
        <v>101</v>
      </c>
      <c r="B66" s="77">
        <v>1</v>
      </c>
      <c r="C66" s="550"/>
      <c r="D66" s="553"/>
      <c r="E66" s="136">
        <v>3</v>
      </c>
      <c r="F66" s="89">
        <v>49750757</v>
      </c>
      <c r="G66" s="201">
        <f>IF(ISBLANK(F66),"-",(F66/$D$50*$D$47*$B$68)*($B$57/$D$64))</f>
        <v>799.15509889449436</v>
      </c>
      <c r="H66" s="219">
        <f t="shared" si="0"/>
        <v>99.894387361811795</v>
      </c>
    </row>
    <row r="67" spans="1:8" ht="27" customHeight="1" x14ac:dyDescent="0.4">
      <c r="A67" s="76" t="s">
        <v>102</v>
      </c>
      <c r="B67" s="77">
        <v>1</v>
      </c>
      <c r="C67" s="551"/>
      <c r="D67" s="554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549" t="s">
        <v>104</v>
      </c>
      <c r="D68" s="552">
        <v>209.85</v>
      </c>
      <c r="E68" s="134">
        <v>1</v>
      </c>
      <c r="F68" s="135">
        <v>49830429</v>
      </c>
      <c r="G68" s="200">
        <f>IF(ISBLANK(F68),"-",(F68/$D$50*$D$47*$B$68)*($B$57/$D$68))</f>
        <v>792.11966828931759</v>
      </c>
      <c r="H68" s="219">
        <f t="shared" si="0"/>
        <v>99.014958536164698</v>
      </c>
    </row>
    <row r="69" spans="1:8" ht="27" customHeight="1" x14ac:dyDescent="0.4">
      <c r="A69" s="124" t="s">
        <v>105</v>
      </c>
      <c r="B69" s="141">
        <f>(D47*B68)/B56*B57</f>
        <v>208.92569999999998</v>
      </c>
      <c r="C69" s="550"/>
      <c r="D69" s="553"/>
      <c r="E69" s="136">
        <v>2</v>
      </c>
      <c r="F69" s="89">
        <v>49916871</v>
      </c>
      <c r="G69" s="201">
        <f>IF(ISBLANK(F69),"-",(F69/$D$50*$D$47*$B$68)*($B$57/$D$68))</f>
        <v>793.4937766351693</v>
      </c>
      <c r="H69" s="219">
        <f t="shared" si="0"/>
        <v>99.186722079396162</v>
      </c>
    </row>
    <row r="70" spans="1:8" ht="26.25" customHeight="1" x14ac:dyDescent="0.4">
      <c r="A70" s="562" t="s">
        <v>78</v>
      </c>
      <c r="B70" s="563"/>
      <c r="C70" s="550"/>
      <c r="D70" s="553"/>
      <c r="E70" s="136">
        <v>3</v>
      </c>
      <c r="F70" s="89">
        <v>49943386</v>
      </c>
      <c r="G70" s="201">
        <f>IF(ISBLANK(F70),"-",(F70/$D$50*$D$47*$B$68)*($B$57/$D$68))</f>
        <v>793.91526714661336</v>
      </c>
      <c r="H70" s="219">
        <f t="shared" si="0"/>
        <v>99.23940839332667</v>
      </c>
    </row>
    <row r="71" spans="1:8" ht="27" customHeight="1" x14ac:dyDescent="0.4">
      <c r="A71" s="564"/>
      <c r="B71" s="565"/>
      <c r="C71" s="561"/>
      <c r="D71" s="554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794.83836371915402</v>
      </c>
      <c r="H72" s="221">
        <f>AVERAGE(H60:H71)</f>
        <v>99.354795464894252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3.3564125921595619E-3</v>
      </c>
      <c r="H73" s="205">
        <f>STDEV(H60:H71)/H72</f>
        <v>3.3564125921595619E-3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57" t="str">
        <f>B26</f>
        <v xml:space="preserve">Sulfamethoxazole </v>
      </c>
      <c r="D76" s="557"/>
      <c r="E76" s="150" t="s">
        <v>108</v>
      </c>
      <c r="F76" s="150"/>
      <c r="G76" s="151">
        <f>H72</f>
        <v>99.354795464894252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3" t="str">
        <f>B26</f>
        <v xml:space="preserve">Sulfamethoxazole </v>
      </c>
      <c r="C79" s="543"/>
    </row>
    <row r="80" spans="1:8" ht="26.25" customHeight="1" x14ac:dyDescent="0.4">
      <c r="A80" s="61" t="s">
        <v>48</v>
      </c>
      <c r="B80" s="543" t="str">
        <f>B27</f>
        <v>NDQE201607046</v>
      </c>
      <c r="C80" s="543"/>
    </row>
    <row r="81" spans="1:12" ht="27" customHeight="1" x14ac:dyDescent="0.4">
      <c r="A81" s="61" t="s">
        <v>6</v>
      </c>
      <c r="B81" s="153">
        <f>B28</f>
        <v>99.28</v>
      </c>
    </row>
    <row r="82" spans="1:12" s="3" customFormat="1" ht="27" customHeight="1" x14ac:dyDescent="0.4">
      <c r="A82" s="61" t="s">
        <v>49</v>
      </c>
      <c r="B82" s="63">
        <v>0</v>
      </c>
      <c r="C82" s="534" t="s">
        <v>50</v>
      </c>
      <c r="D82" s="535"/>
      <c r="E82" s="535"/>
      <c r="F82" s="535"/>
      <c r="G82" s="53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7" t="s">
        <v>111</v>
      </c>
      <c r="D84" s="538"/>
      <c r="E84" s="538"/>
      <c r="F84" s="538"/>
      <c r="G84" s="538"/>
      <c r="H84" s="53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7" t="s">
        <v>112</v>
      </c>
      <c r="D85" s="538"/>
      <c r="E85" s="538"/>
      <c r="F85" s="538"/>
      <c r="G85" s="538"/>
      <c r="H85" s="53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40" t="s">
        <v>60</v>
      </c>
      <c r="G89" s="542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50184865</v>
      </c>
      <c r="E91" s="85">
        <f>IF(ISBLANK(D91),"-",$D$101/$D$98*D91)</f>
        <v>55369416.283859804</v>
      </c>
      <c r="F91" s="84">
        <v>48151933</v>
      </c>
      <c r="G91" s="86">
        <f>IF(ISBLANK(F91),"-",$D$101/$F$98*F91)</f>
        <v>56135580.111991532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49955358</v>
      </c>
      <c r="E92" s="90">
        <f>IF(ISBLANK(D92),"-",$D$101/$D$98*D92)</f>
        <v>55116199.131177224</v>
      </c>
      <c r="F92" s="89">
        <v>48294927</v>
      </c>
      <c r="G92" s="91">
        <f>IF(ISBLANK(F92),"-",$D$101/$F$98*F92)</f>
        <v>56302282.685334414</v>
      </c>
      <c r="I92" s="544">
        <f>ABS((F96/D96*D95)-F95)/D95</f>
        <v>1.6837810439397347E-2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49901476</v>
      </c>
      <c r="E93" s="90">
        <f>IF(ISBLANK(D93),"-",$D$101/$D$98*D93)</f>
        <v>55056750.632347807</v>
      </c>
      <c r="F93" s="89">
        <v>48078312</v>
      </c>
      <c r="G93" s="91">
        <f>IF(ISBLANK(F93),"-",$D$101/$F$98*F93)</f>
        <v>56049752.663622528</v>
      </c>
      <c r="I93" s="544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50013899.666666664</v>
      </c>
      <c r="E95" s="100">
        <f>AVERAGE(E91:E94)</f>
        <v>55180788.682461619</v>
      </c>
      <c r="F95" s="163">
        <f>AVERAGE(F91:F94)</f>
        <v>48175057.333333336</v>
      </c>
      <c r="G95" s="164">
        <f>AVERAGE(G91:G94)</f>
        <v>56162538.486982822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16.23</v>
      </c>
      <c r="E96" s="92"/>
      <c r="F96" s="104">
        <v>15.36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16.23</v>
      </c>
      <c r="E97" s="107"/>
      <c r="F97" s="106">
        <f>F96*$B$87</f>
        <v>15.36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16.113143999999998</v>
      </c>
      <c r="E98" s="110"/>
      <c r="F98" s="109">
        <f>F97*$B$83/100</f>
        <v>15.249407999999999</v>
      </c>
    </row>
    <row r="99" spans="1:10" ht="19.5" customHeight="1" x14ac:dyDescent="0.3">
      <c r="A99" s="545" t="s">
        <v>78</v>
      </c>
      <c r="B99" s="559"/>
      <c r="C99" s="167" t="s">
        <v>116</v>
      </c>
      <c r="D99" s="171">
        <f>D98/$B$98</f>
        <v>0.16113143999999999</v>
      </c>
      <c r="E99" s="110"/>
      <c r="F99" s="113">
        <f>F98/$B$98</f>
        <v>0.15249407999999998</v>
      </c>
      <c r="G99" s="172"/>
      <c r="H99" s="102"/>
    </row>
    <row r="100" spans="1:10" ht="19.5" customHeight="1" x14ac:dyDescent="0.3">
      <c r="A100" s="547"/>
      <c r="B100" s="560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55671663.584722221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9.9488758200228199E-3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48174910</v>
      </c>
      <c r="E108" s="202">
        <f t="shared" ref="E108:E113" si="1">IF(ISBLANK(D108),"-",D108/$D$103*$D$100*$B$116)</f>
        <v>692.27189414502027</v>
      </c>
      <c r="F108" s="229">
        <f t="shared" ref="F108:F113" si="2">IF(ISBLANK(D108), "-", (E108/$B$56)*100)</f>
        <v>86.533986768127534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48435652</v>
      </c>
      <c r="E109" s="203">
        <f t="shared" si="1"/>
        <v>696.01874822784384</v>
      </c>
      <c r="F109" s="230">
        <f t="shared" si="2"/>
        <v>87.00234352848048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48383387</v>
      </c>
      <c r="E110" s="203">
        <f t="shared" si="1"/>
        <v>695.26770187306113</v>
      </c>
      <c r="F110" s="230">
        <f t="shared" si="2"/>
        <v>86.908462734132641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48314375</v>
      </c>
      <c r="E111" s="203">
        <f t="shared" si="1"/>
        <v>694.27600167146784</v>
      </c>
      <c r="F111" s="230">
        <f t="shared" si="2"/>
        <v>86.78450020893348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48280451</v>
      </c>
      <c r="E112" s="203">
        <f t="shared" si="1"/>
        <v>693.78851489179408</v>
      </c>
      <c r="F112" s="230">
        <f t="shared" si="2"/>
        <v>86.72356436147426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48440499</v>
      </c>
      <c r="E113" s="204">
        <f t="shared" si="1"/>
        <v>696.08839946063131</v>
      </c>
      <c r="F113" s="231">
        <f t="shared" si="2"/>
        <v>87.011049932578914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694.618543378303</v>
      </c>
      <c r="F115" s="233">
        <f>AVERAGE(F108:F113)</f>
        <v>86.827317922287875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2.1212584282761788E-3</v>
      </c>
      <c r="F116" s="187">
        <f>STDEV(F108:F113)/F115</f>
        <v>2.1212584282761788E-3</v>
      </c>
      <c r="I116" s="50"/>
    </row>
    <row r="117" spans="1:10" ht="27" customHeight="1" x14ac:dyDescent="0.4">
      <c r="A117" s="545" t="s">
        <v>78</v>
      </c>
      <c r="B117" s="546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47"/>
      <c r="B118" s="548"/>
      <c r="C118" s="50"/>
      <c r="D118" s="212"/>
      <c r="E118" s="525" t="s">
        <v>123</v>
      </c>
      <c r="F118" s="526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692.27189414502027</v>
      </c>
      <c r="F119" s="234">
        <f>MIN(F108:F113)</f>
        <v>86.533986768127534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696.08839946063131</v>
      </c>
      <c r="F120" s="235">
        <f>MAX(F108:F113)</f>
        <v>87.011049932578914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57" t="str">
        <f>B26</f>
        <v xml:space="preserve">Sulfamethoxazole </v>
      </c>
      <c r="D124" s="557"/>
      <c r="E124" s="150" t="s">
        <v>127</v>
      </c>
      <c r="F124" s="150"/>
      <c r="G124" s="236">
        <f>F115</f>
        <v>86.827317922287875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86.533986768127534</v>
      </c>
      <c r="E125" s="161" t="s">
        <v>130</v>
      </c>
      <c r="F125" s="236">
        <f>MAX(F108:F113)</f>
        <v>87.011049932578914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58" t="s">
        <v>26</v>
      </c>
      <c r="C127" s="558"/>
      <c r="E127" s="156" t="s">
        <v>27</v>
      </c>
      <c r="F127" s="191"/>
      <c r="G127" s="558" t="s">
        <v>28</v>
      </c>
      <c r="H127" s="558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5" t="s">
        <v>45</v>
      </c>
      <c r="B1" s="555"/>
      <c r="C1" s="555"/>
      <c r="D1" s="555"/>
      <c r="E1" s="555"/>
      <c r="F1" s="555"/>
      <c r="G1" s="555"/>
      <c r="H1" s="555"/>
      <c r="I1" s="555"/>
    </row>
    <row r="2" spans="1:9" ht="18.7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</row>
    <row r="3" spans="1:9" ht="18.7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</row>
    <row r="4" spans="1:9" ht="18.75" customHeight="1" x14ac:dyDescent="0.25">
      <c r="A4" s="555"/>
      <c r="B4" s="555"/>
      <c r="C4" s="555"/>
      <c r="D4" s="555"/>
      <c r="E4" s="555"/>
      <c r="F4" s="555"/>
      <c r="G4" s="555"/>
      <c r="H4" s="555"/>
      <c r="I4" s="555"/>
    </row>
    <row r="5" spans="1:9" ht="18.75" customHeight="1" x14ac:dyDescent="0.25">
      <c r="A5" s="555"/>
      <c r="B5" s="555"/>
      <c r="C5" s="555"/>
      <c r="D5" s="555"/>
      <c r="E5" s="555"/>
      <c r="F5" s="555"/>
      <c r="G5" s="555"/>
      <c r="H5" s="555"/>
      <c r="I5" s="555"/>
    </row>
    <row r="6" spans="1:9" ht="18.75" customHeight="1" x14ac:dyDescent="0.25">
      <c r="A6" s="555"/>
      <c r="B6" s="555"/>
      <c r="C6" s="555"/>
      <c r="D6" s="555"/>
      <c r="E6" s="555"/>
      <c r="F6" s="555"/>
      <c r="G6" s="555"/>
      <c r="H6" s="555"/>
      <c r="I6" s="555"/>
    </row>
    <row r="7" spans="1:9" ht="18.75" customHeight="1" x14ac:dyDescent="0.25">
      <c r="A7" s="555"/>
      <c r="B7" s="555"/>
      <c r="C7" s="555"/>
      <c r="D7" s="555"/>
      <c r="E7" s="555"/>
      <c r="F7" s="555"/>
      <c r="G7" s="555"/>
      <c r="H7" s="555"/>
      <c r="I7" s="555"/>
    </row>
    <row r="8" spans="1:9" x14ac:dyDescent="0.25">
      <c r="A8" s="556" t="s">
        <v>46</v>
      </c>
      <c r="B8" s="556"/>
      <c r="C8" s="556"/>
      <c r="D8" s="556"/>
      <c r="E8" s="556"/>
      <c r="F8" s="556"/>
      <c r="G8" s="556"/>
      <c r="H8" s="556"/>
      <c r="I8" s="556"/>
    </row>
    <row r="9" spans="1:9" x14ac:dyDescent="0.25">
      <c r="A9" s="556"/>
      <c r="B9" s="556"/>
      <c r="C9" s="556"/>
      <c r="D9" s="556"/>
      <c r="E9" s="556"/>
      <c r="F9" s="556"/>
      <c r="G9" s="556"/>
      <c r="H9" s="556"/>
      <c r="I9" s="556"/>
    </row>
    <row r="10" spans="1:9" x14ac:dyDescent="0.25">
      <c r="A10" s="556"/>
      <c r="B10" s="556"/>
      <c r="C10" s="556"/>
      <c r="D10" s="556"/>
      <c r="E10" s="556"/>
      <c r="F10" s="556"/>
      <c r="G10" s="556"/>
      <c r="H10" s="556"/>
      <c r="I10" s="556"/>
    </row>
    <row r="11" spans="1:9" x14ac:dyDescent="0.25">
      <c r="A11" s="556"/>
      <c r="B11" s="556"/>
      <c r="C11" s="556"/>
      <c r="D11" s="556"/>
      <c r="E11" s="556"/>
      <c r="F11" s="556"/>
      <c r="G11" s="556"/>
      <c r="H11" s="556"/>
      <c r="I11" s="556"/>
    </row>
    <row r="12" spans="1:9" x14ac:dyDescent="0.25">
      <c r="A12" s="556"/>
      <c r="B12" s="556"/>
      <c r="C12" s="556"/>
      <c r="D12" s="556"/>
      <c r="E12" s="556"/>
      <c r="F12" s="556"/>
      <c r="G12" s="556"/>
      <c r="H12" s="556"/>
      <c r="I12" s="556"/>
    </row>
    <row r="13" spans="1:9" x14ac:dyDescent="0.25">
      <c r="A13" s="556"/>
      <c r="B13" s="556"/>
      <c r="C13" s="556"/>
      <c r="D13" s="556"/>
      <c r="E13" s="556"/>
      <c r="F13" s="556"/>
      <c r="G13" s="556"/>
      <c r="H13" s="556"/>
      <c r="I13" s="556"/>
    </row>
    <row r="14" spans="1:9" x14ac:dyDescent="0.25">
      <c r="A14" s="556"/>
      <c r="B14" s="556"/>
      <c r="C14" s="556"/>
      <c r="D14" s="556"/>
      <c r="E14" s="556"/>
      <c r="F14" s="556"/>
      <c r="G14" s="556"/>
      <c r="H14" s="556"/>
      <c r="I14" s="556"/>
    </row>
    <row r="15" spans="1:9" ht="19.5" customHeight="1" x14ac:dyDescent="0.3">
      <c r="A15" s="237"/>
    </row>
    <row r="16" spans="1:9" ht="19.5" customHeight="1" x14ac:dyDescent="0.3">
      <c r="A16" s="528" t="s">
        <v>31</v>
      </c>
      <c r="B16" s="529"/>
      <c r="C16" s="529"/>
      <c r="D16" s="529"/>
      <c r="E16" s="529"/>
      <c r="F16" s="529"/>
      <c r="G16" s="529"/>
      <c r="H16" s="530"/>
    </row>
    <row r="17" spans="1:14" ht="20.25" customHeight="1" x14ac:dyDescent="0.25">
      <c r="A17" s="531" t="s">
        <v>47</v>
      </c>
      <c r="B17" s="531"/>
      <c r="C17" s="531"/>
      <c r="D17" s="531"/>
      <c r="E17" s="531"/>
      <c r="F17" s="531"/>
      <c r="G17" s="531"/>
      <c r="H17" s="531"/>
    </row>
    <row r="18" spans="1:14" ht="26.25" customHeight="1" x14ac:dyDescent="0.4">
      <c r="A18" s="239" t="s">
        <v>33</v>
      </c>
      <c r="B18" s="527" t="s">
        <v>5</v>
      </c>
      <c r="C18" s="527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32" t="s">
        <v>133</v>
      </c>
      <c r="C20" s="532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32" t="s">
        <v>11</v>
      </c>
      <c r="C21" s="532"/>
      <c r="D21" s="532"/>
      <c r="E21" s="532"/>
      <c r="F21" s="532"/>
      <c r="G21" s="532"/>
      <c r="H21" s="532"/>
      <c r="I21" s="243"/>
    </row>
    <row r="22" spans="1:14" ht="26.25" customHeight="1" x14ac:dyDescent="0.4">
      <c r="A22" s="239" t="s">
        <v>37</v>
      </c>
      <c r="B22" s="244">
        <v>42718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42720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27" t="s">
        <v>133</v>
      </c>
      <c r="C26" s="527"/>
    </row>
    <row r="27" spans="1:14" ht="26.25" customHeight="1" x14ac:dyDescent="0.4">
      <c r="A27" s="248" t="s">
        <v>48</v>
      </c>
      <c r="B27" s="533" t="s">
        <v>134</v>
      </c>
      <c r="C27" s="533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534" t="s">
        <v>50</v>
      </c>
      <c r="D29" s="535"/>
      <c r="E29" s="535"/>
      <c r="F29" s="535"/>
      <c r="G29" s="536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37" t="s">
        <v>53</v>
      </c>
      <c r="D31" s="538"/>
      <c r="E31" s="538"/>
      <c r="F31" s="538"/>
      <c r="G31" s="538"/>
      <c r="H31" s="539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37" t="s">
        <v>55</v>
      </c>
      <c r="D32" s="538"/>
      <c r="E32" s="538"/>
      <c r="F32" s="538"/>
      <c r="G32" s="538"/>
      <c r="H32" s="539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540" t="s">
        <v>59</v>
      </c>
      <c r="E36" s="541"/>
      <c r="F36" s="540" t="s">
        <v>60</v>
      </c>
      <c r="G36" s="542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3605034</v>
      </c>
      <c r="E38" s="272">
        <f>IF(ISBLANK(D38),"-",$D$48/$D$45*D38)</f>
        <v>3785659.155275668</v>
      </c>
      <c r="F38" s="271">
        <v>3803092</v>
      </c>
      <c r="G38" s="273">
        <f>IF(ISBLANK(F38),"-",$D$48/$F$45*F38)</f>
        <v>3810847.0737951738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3587484</v>
      </c>
      <c r="E39" s="277">
        <f>IF(ISBLANK(D39),"-",$D$48/$D$45*D39)</f>
        <v>3767229.8372234423</v>
      </c>
      <c r="F39" s="276">
        <v>3816217</v>
      </c>
      <c r="G39" s="278">
        <f>IF(ISBLANK(F39),"-",$D$48/$F$45*F39)</f>
        <v>3823998.8376345872</v>
      </c>
      <c r="I39" s="544">
        <f>ABS((F43/D43*D42)-F42)/D42</f>
        <v>1.1799308714371032E-2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3586029</v>
      </c>
      <c r="E40" s="277">
        <f>IF(ISBLANK(D40),"-",$D$48/$D$45*D40)</f>
        <v>3765701.9364960352</v>
      </c>
      <c r="F40" s="276">
        <v>3803428</v>
      </c>
      <c r="G40" s="278">
        <f>IF(ISBLANK(F40),"-",$D$48/$F$45*F40)</f>
        <v>3811183.7589494628</v>
      </c>
      <c r="I40" s="544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3592849</v>
      </c>
      <c r="E42" s="287">
        <f>AVERAGE(E38:E41)</f>
        <v>3772863.642998382</v>
      </c>
      <c r="F42" s="286">
        <f>AVERAGE(F38:F41)</f>
        <v>3807579</v>
      </c>
      <c r="G42" s="288">
        <f>AVERAGE(G38:G41)</f>
        <v>3815343.2234597411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19.18</v>
      </c>
      <c r="E43" s="279"/>
      <c r="F43" s="291">
        <v>20.100000000000001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19.18</v>
      </c>
      <c r="E44" s="294"/>
      <c r="F44" s="293">
        <f>F43*$B$34</f>
        <v>20.100000000000001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19.045739999999999</v>
      </c>
      <c r="E45" s="297"/>
      <c r="F45" s="296">
        <f>F44*$B$30/100</f>
        <v>19.959299999999999</v>
      </c>
      <c r="H45" s="289"/>
    </row>
    <row r="46" spans="1:14" ht="19.5" customHeight="1" x14ac:dyDescent="0.3">
      <c r="A46" s="545" t="s">
        <v>78</v>
      </c>
      <c r="B46" s="546"/>
      <c r="C46" s="292" t="s">
        <v>79</v>
      </c>
      <c r="D46" s="298">
        <f>D45/$B$45</f>
        <v>3.0473183999999997E-2</v>
      </c>
      <c r="E46" s="299"/>
      <c r="F46" s="300">
        <f>F45/$B$45</f>
        <v>3.1934879999999999E-2</v>
      </c>
      <c r="H46" s="289"/>
    </row>
    <row r="47" spans="1:14" ht="27" customHeight="1" x14ac:dyDescent="0.4">
      <c r="A47" s="547"/>
      <c r="B47" s="548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3794103.4332290613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6.5266346649062567E-3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 Sulfamethoxazole 800 mg and Trimethoprim 160 mg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 xml:space="preserve"> Trimethoprim</v>
      </c>
      <c r="H56" s="318"/>
    </row>
    <row r="57" spans="1:12" ht="18.75" x14ac:dyDescent="0.3">
      <c r="A57" s="315" t="s">
        <v>88</v>
      </c>
      <c r="B57" s="386">
        <f>Uniformity!C46</f>
        <v>1044.6284999999998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549" t="s">
        <v>94</v>
      </c>
      <c r="D60" s="552">
        <v>202.32</v>
      </c>
      <c r="E60" s="321">
        <v>1</v>
      </c>
      <c r="F60" s="322">
        <v>3652235</v>
      </c>
      <c r="G60" s="387">
        <f>IF(ISBLANK(F60),"-",(F60/$D$50*$D$47*$B$68)*($B$57/$D$60))</f>
        <v>159.04593736623656</v>
      </c>
      <c r="H60" s="405">
        <f t="shared" ref="H60:H71" si="0">IF(ISBLANK(F60),"-",(G60/$B$56)*100)</f>
        <v>99.403710853897849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550"/>
      <c r="D61" s="553"/>
      <c r="E61" s="323">
        <v>2</v>
      </c>
      <c r="F61" s="276">
        <v>3654007</v>
      </c>
      <c r="G61" s="388">
        <f>IF(ISBLANK(F61),"-",(F61/$D$50*$D$47*$B$68)*($B$57/$D$60))</f>
        <v>159.12310364962548</v>
      </c>
      <c r="H61" s="406">
        <f t="shared" si="0"/>
        <v>99.451939781015923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50"/>
      <c r="D62" s="553"/>
      <c r="E62" s="323">
        <v>3</v>
      </c>
      <c r="F62" s="324">
        <v>3656246</v>
      </c>
      <c r="G62" s="388">
        <f>IF(ISBLANK(F62),"-",(F62/$D$50*$D$47*$B$68)*($B$57/$D$60))</f>
        <v>159.2206066453974</v>
      </c>
      <c r="H62" s="406">
        <f t="shared" si="0"/>
        <v>99.512879153373362</v>
      </c>
      <c r="L62" s="251"/>
    </row>
    <row r="63" spans="1:12" ht="27" customHeight="1" x14ac:dyDescent="0.4">
      <c r="A63" s="263" t="s">
        <v>97</v>
      </c>
      <c r="B63" s="264">
        <v>1</v>
      </c>
      <c r="C63" s="551"/>
      <c r="D63" s="554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49" t="s">
        <v>99</v>
      </c>
      <c r="D64" s="552">
        <v>207.67</v>
      </c>
      <c r="E64" s="321">
        <v>1</v>
      </c>
      <c r="F64" s="322">
        <v>3768204</v>
      </c>
      <c r="G64" s="387">
        <f>IF(ISBLANK(F64),"-",(F64/$D$50*$D$47*$B$68)*($B$57/$D$64))</f>
        <v>159.86865664790562</v>
      </c>
      <c r="H64" s="405">
        <f t="shared" si="0"/>
        <v>99.917910404941011</v>
      </c>
    </row>
    <row r="65" spans="1:8" ht="26.25" customHeight="1" x14ac:dyDescent="0.4">
      <c r="A65" s="263" t="s">
        <v>100</v>
      </c>
      <c r="B65" s="264">
        <v>1</v>
      </c>
      <c r="C65" s="550"/>
      <c r="D65" s="553"/>
      <c r="E65" s="323">
        <v>2</v>
      </c>
      <c r="F65" s="276">
        <v>3789172</v>
      </c>
      <c r="G65" s="388">
        <f>IF(ISBLANK(F65),"-",(F65/$D$50*$D$47*$B$68)*($B$57/$D$64))</f>
        <v>160.75823852632658</v>
      </c>
      <c r="H65" s="406">
        <f t="shared" si="0"/>
        <v>100.47389907895412</v>
      </c>
    </row>
    <row r="66" spans="1:8" ht="26.25" customHeight="1" x14ac:dyDescent="0.4">
      <c r="A66" s="263" t="s">
        <v>101</v>
      </c>
      <c r="B66" s="264">
        <v>1</v>
      </c>
      <c r="C66" s="550"/>
      <c r="D66" s="553"/>
      <c r="E66" s="323">
        <v>3</v>
      </c>
      <c r="F66" s="276">
        <v>3785619</v>
      </c>
      <c r="G66" s="388">
        <f>IF(ISBLANK(F66),"-",(F66/$D$50*$D$47*$B$68)*($B$57/$D$64))</f>
        <v>160.6075000479772</v>
      </c>
      <c r="H66" s="406">
        <f t="shared" si="0"/>
        <v>100.37968752998574</v>
      </c>
    </row>
    <row r="67" spans="1:8" ht="27" customHeight="1" x14ac:dyDescent="0.4">
      <c r="A67" s="263" t="s">
        <v>102</v>
      </c>
      <c r="B67" s="264">
        <v>1</v>
      </c>
      <c r="C67" s="551"/>
      <c r="D67" s="554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549" t="s">
        <v>104</v>
      </c>
      <c r="D68" s="552">
        <v>209.85</v>
      </c>
      <c r="E68" s="321">
        <v>1</v>
      </c>
      <c r="F68" s="322">
        <v>3777454</v>
      </c>
      <c r="G68" s="387">
        <f>IF(ISBLANK(F68),"-",(F68/$D$50*$D$47*$B$68)*($B$57/$D$68))</f>
        <v>158.5962423167685</v>
      </c>
      <c r="H68" s="406">
        <f t="shared" si="0"/>
        <v>99.122651447980317</v>
      </c>
    </row>
    <row r="69" spans="1:8" ht="27" customHeight="1" x14ac:dyDescent="0.4">
      <c r="A69" s="311" t="s">
        <v>105</v>
      </c>
      <c r="B69" s="328">
        <f>(D47*B68)/B56*B57</f>
        <v>208.92569999999998</v>
      </c>
      <c r="C69" s="550"/>
      <c r="D69" s="553"/>
      <c r="E69" s="323">
        <v>2</v>
      </c>
      <c r="F69" s="276">
        <v>3780219</v>
      </c>
      <c r="G69" s="388">
        <f>IF(ISBLANK(F69),"-",(F69/$D$50*$D$47*$B$68)*($B$57/$D$68))</f>
        <v>158.71233072181747</v>
      </c>
      <c r="H69" s="406">
        <f t="shared" si="0"/>
        <v>99.195206701135916</v>
      </c>
    </row>
    <row r="70" spans="1:8" ht="26.25" customHeight="1" x14ac:dyDescent="0.4">
      <c r="A70" s="562" t="s">
        <v>78</v>
      </c>
      <c r="B70" s="563"/>
      <c r="C70" s="550"/>
      <c r="D70" s="553"/>
      <c r="E70" s="323">
        <v>3</v>
      </c>
      <c r="F70" s="276">
        <v>3778187</v>
      </c>
      <c r="G70" s="388">
        <f>IF(ISBLANK(F70),"-",(F70/$D$50*$D$47*$B$68)*($B$57/$D$68))</f>
        <v>158.62701728996953</v>
      </c>
      <c r="H70" s="406">
        <f t="shared" si="0"/>
        <v>99.14188580623096</v>
      </c>
    </row>
    <row r="71" spans="1:8" ht="27" customHeight="1" x14ac:dyDescent="0.4">
      <c r="A71" s="564"/>
      <c r="B71" s="565"/>
      <c r="C71" s="561"/>
      <c r="D71" s="554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159.39551480133605</v>
      </c>
      <c r="H72" s="408">
        <f>AVERAGE(H60:H71)</f>
        <v>99.62219675083503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5.189075184606688E-3</v>
      </c>
      <c r="H73" s="392">
        <f>STDEV(H60:H71)/H72</f>
        <v>5.1890751846066846E-3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57" t="str">
        <f>B26</f>
        <v xml:space="preserve"> Trimethoprim</v>
      </c>
      <c r="D76" s="557"/>
      <c r="E76" s="337" t="s">
        <v>108</v>
      </c>
      <c r="F76" s="337"/>
      <c r="G76" s="338">
        <f>H72</f>
        <v>99.62219675083503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43" t="str">
        <f>B26</f>
        <v xml:space="preserve"> Trimethoprim</v>
      </c>
      <c r="C79" s="543"/>
    </row>
    <row r="80" spans="1:8" ht="26.25" customHeight="1" x14ac:dyDescent="0.4">
      <c r="A80" s="248" t="s">
        <v>48</v>
      </c>
      <c r="B80" s="543" t="str">
        <f>B27</f>
        <v>T7-4</v>
      </c>
      <c r="C80" s="543"/>
    </row>
    <row r="81" spans="1:12" ht="27" customHeight="1" x14ac:dyDescent="0.4">
      <c r="A81" s="248" t="s">
        <v>6</v>
      </c>
      <c r="B81" s="340">
        <f>B28</f>
        <v>99.3</v>
      </c>
    </row>
    <row r="82" spans="1:12" s="3" customFormat="1" ht="27" customHeight="1" x14ac:dyDescent="0.4">
      <c r="A82" s="248" t="s">
        <v>49</v>
      </c>
      <c r="B82" s="250">
        <v>0</v>
      </c>
      <c r="C82" s="534" t="s">
        <v>50</v>
      </c>
      <c r="D82" s="535"/>
      <c r="E82" s="535"/>
      <c r="F82" s="535"/>
      <c r="G82" s="536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37" t="s">
        <v>111</v>
      </c>
      <c r="D84" s="538"/>
      <c r="E84" s="538"/>
      <c r="F84" s="538"/>
      <c r="G84" s="538"/>
      <c r="H84" s="539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37" t="s">
        <v>112</v>
      </c>
      <c r="D85" s="538"/>
      <c r="E85" s="538"/>
      <c r="F85" s="538"/>
      <c r="G85" s="538"/>
      <c r="H85" s="539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540" t="s">
        <v>60</v>
      </c>
      <c r="G89" s="542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3605034</v>
      </c>
      <c r="E91" s="272">
        <f>IF(ISBLANK(D91),"-",$D$101/$D$98*D91)</f>
        <v>4206287.9503062982</v>
      </c>
      <c r="F91" s="271">
        <v>3803092</v>
      </c>
      <c r="G91" s="273">
        <f>IF(ISBLANK(F91),"-",$D$101/$F$98*F91)</f>
        <v>4234274.5264390809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3587484</v>
      </c>
      <c r="E92" s="277">
        <f>IF(ISBLANK(D92),"-",$D$101/$D$98*D92)</f>
        <v>4185810.9302482693</v>
      </c>
      <c r="F92" s="276">
        <v>3816217</v>
      </c>
      <c r="G92" s="278">
        <f>IF(ISBLANK(F92),"-",$D$101/$F$98*F92)</f>
        <v>4248887.5973717626</v>
      </c>
      <c r="I92" s="544">
        <f>ABS((F96/D96*D95)-F95)/D95</f>
        <v>1.1799308714371032E-2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3586029</v>
      </c>
      <c r="E93" s="277">
        <f>IF(ISBLANK(D93),"-",$D$101/$D$98*D93)</f>
        <v>4184113.2627733732</v>
      </c>
      <c r="F93" s="276">
        <v>3803428</v>
      </c>
      <c r="G93" s="278">
        <f>IF(ISBLANK(F93),"-",$D$101/$F$98*F93)</f>
        <v>4234648.6210549576</v>
      </c>
      <c r="I93" s="544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3592849</v>
      </c>
      <c r="E95" s="287">
        <f>AVERAGE(E91:E94)</f>
        <v>4192070.7144426466</v>
      </c>
      <c r="F95" s="350">
        <f>AVERAGE(F91:F94)</f>
        <v>3807579</v>
      </c>
      <c r="G95" s="351">
        <f>AVERAGE(G91:G94)</f>
        <v>4239270.2482886007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19.18</v>
      </c>
      <c r="E96" s="279"/>
      <c r="F96" s="291">
        <v>20.100000000000001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19.18</v>
      </c>
      <c r="E97" s="294"/>
      <c r="F97" s="293">
        <f>F96*$B$87</f>
        <v>20.100000000000001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19.045739999999999</v>
      </c>
      <c r="E98" s="297"/>
      <c r="F98" s="296">
        <f>F97*$B$83/100</f>
        <v>19.959299999999999</v>
      </c>
    </row>
    <row r="99" spans="1:10" ht="19.5" customHeight="1" x14ac:dyDescent="0.3">
      <c r="A99" s="545" t="s">
        <v>78</v>
      </c>
      <c r="B99" s="559"/>
      <c r="C99" s="354" t="s">
        <v>116</v>
      </c>
      <c r="D99" s="358">
        <f>D98/$B$98</f>
        <v>3.0473183999999997E-2</v>
      </c>
      <c r="E99" s="297"/>
      <c r="F99" s="300">
        <f>F98/$B$98</f>
        <v>3.1934879999999999E-2</v>
      </c>
      <c r="G99" s="359"/>
      <c r="H99" s="289"/>
    </row>
    <row r="100" spans="1:10" ht="19.5" customHeight="1" x14ac:dyDescent="0.3">
      <c r="A100" s="547"/>
      <c r="B100" s="560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4215670.4813656239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6.5266346649060832E-3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3639441</v>
      </c>
      <c r="E108" s="389">
        <f t="shared" ref="E108:E113" si="1">IF(ISBLANK(D108),"-",D108/$D$103*$D$100*$B$116)</f>
        <v>138.12999914817024</v>
      </c>
      <c r="F108" s="416">
        <f t="shared" ref="F108:F113" si="2">IF(ISBLANK(D108), "-", (E108/$B$56)*100)</f>
        <v>86.331249467606398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3659107</v>
      </c>
      <c r="E109" s="390">
        <f t="shared" si="1"/>
        <v>138.87639524670513</v>
      </c>
      <c r="F109" s="417">
        <f t="shared" si="2"/>
        <v>86.797747029190703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3653890</v>
      </c>
      <c r="E110" s="390">
        <f t="shared" si="1"/>
        <v>138.67839115608899</v>
      </c>
      <c r="F110" s="417">
        <f t="shared" si="2"/>
        <v>86.67399447255562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3644056</v>
      </c>
      <c r="E111" s="390">
        <f t="shared" si="1"/>
        <v>138.30515515319098</v>
      </c>
      <c r="F111" s="417">
        <f t="shared" si="2"/>
        <v>86.440721970744363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3641600</v>
      </c>
      <c r="E112" s="390">
        <f t="shared" si="1"/>
        <v>138.21194103654287</v>
      </c>
      <c r="F112" s="417">
        <f t="shared" si="2"/>
        <v>86.382463147839289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3651599</v>
      </c>
      <c r="E113" s="391">
        <f t="shared" si="1"/>
        <v>138.5914393884828</v>
      </c>
      <c r="F113" s="418">
        <f t="shared" si="2"/>
        <v>86.619649617801755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138.46555352153015</v>
      </c>
      <c r="F115" s="420">
        <f>AVERAGE(F108:F113)</f>
        <v>86.540970950956364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2.1242582968074067E-3</v>
      </c>
      <c r="F116" s="374">
        <f>STDEV(F108:F113)/F115</f>
        <v>2.1242582968074184E-3</v>
      </c>
      <c r="I116" s="237"/>
    </row>
    <row r="117" spans="1:10" ht="27" customHeight="1" x14ac:dyDescent="0.4">
      <c r="A117" s="545" t="s">
        <v>78</v>
      </c>
      <c r="B117" s="546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47"/>
      <c r="B118" s="548"/>
      <c r="C118" s="237"/>
      <c r="D118" s="399"/>
      <c r="E118" s="525" t="s">
        <v>123</v>
      </c>
      <c r="F118" s="526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138.12999914817024</v>
      </c>
      <c r="F119" s="421">
        <f>MIN(F108:F113)</f>
        <v>86.331249467606398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138.87639524670513</v>
      </c>
      <c r="F120" s="422">
        <f>MAX(F108:F113)</f>
        <v>86.797747029190703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57" t="str">
        <f>B26</f>
        <v xml:space="preserve"> Trimethoprim</v>
      </c>
      <c r="D124" s="557"/>
      <c r="E124" s="337" t="s">
        <v>127</v>
      </c>
      <c r="F124" s="337"/>
      <c r="G124" s="423">
        <f>F115</f>
        <v>86.540970950956364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86.331249467606398</v>
      </c>
      <c r="E125" s="348" t="s">
        <v>130</v>
      </c>
      <c r="F125" s="423">
        <f>MAX(F108:F113)</f>
        <v>86.797747029190703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58" t="s">
        <v>26</v>
      </c>
      <c r="C127" s="558"/>
      <c r="E127" s="343" t="s">
        <v>27</v>
      </c>
      <c r="F127" s="378"/>
      <c r="G127" s="558" t="s">
        <v>28</v>
      </c>
      <c r="H127" s="558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Uniformity</vt:lpstr>
      <vt:lpstr>Sulfamethoxazole</vt:lpstr>
      <vt:lpstr>Trimethoprim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2016-12-17T15:12:47Z</cp:lastPrinted>
  <dcterms:created xsi:type="dcterms:W3CDTF">2005-07-05T10:19:27Z</dcterms:created>
  <dcterms:modified xsi:type="dcterms:W3CDTF">2016-12-17T15:12:50Z</dcterms:modified>
</cp:coreProperties>
</file>