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3"/>
  </bookViews>
  <sheets>
    <sheet name="Uniformity" sheetId="2" r:id="rId1"/>
    <sheet name="SST Lam" sheetId="8" r:id="rId2"/>
    <sheet name="SST Zid" sheetId="9" r:id="rId3"/>
    <sheet name="SST Nev" sheetId="10" r:id="rId4"/>
    <sheet name="Lamivudine" sheetId="3" r:id="rId5"/>
    <sheet name="Zidovudine" sheetId="5" r:id="rId6"/>
    <sheet name="Nevirapine" sheetId="4" r:id="rId7"/>
  </sheets>
  <definedNames>
    <definedName name="_xlnm.Print_Area" localSheetId="4">Lamivudine!$A$1:$I$130</definedName>
    <definedName name="_xlnm.Print_Area" localSheetId="6">Nevirapine!$A$1:$I$130</definedName>
    <definedName name="_xlnm.Print_Area" localSheetId="1">'SST Lam'!$A$1:$G$30</definedName>
    <definedName name="_xlnm.Print_Area" localSheetId="3">'SST Nev'!$A$1:$G$31</definedName>
    <definedName name="_xlnm.Print_Area" localSheetId="2">'SST Zid'!$A$1:$G$31</definedName>
    <definedName name="_xlnm.Print_Area" localSheetId="0">Uniformity!$A$1:$F$54</definedName>
    <definedName name="_xlnm.Print_Area" localSheetId="5">Zidovudine!$A$1:$I$130</definedName>
  </definedNames>
  <calcPr calcId="144525"/>
</workbook>
</file>

<file path=xl/calcChain.xml><?xml version="1.0" encoding="utf-8"?>
<calcChain xmlns="http://schemas.openxmlformats.org/spreadsheetml/2006/main">
  <c r="B19" i="10" l="1"/>
  <c r="E17" i="10"/>
  <c r="D17" i="10"/>
  <c r="C17" i="10"/>
  <c r="B17" i="10"/>
  <c r="B18" i="10" s="1"/>
  <c r="B8" i="10"/>
  <c r="B19" i="9"/>
  <c r="E17" i="9"/>
  <c r="D17" i="9"/>
  <c r="C17" i="9"/>
  <c r="B17" i="9"/>
  <c r="B18" i="9" s="1"/>
  <c r="B8" i="9"/>
  <c r="B19" i="8"/>
  <c r="E17" i="8"/>
  <c r="D17" i="8"/>
  <c r="C17" i="8"/>
  <c r="B17" i="8"/>
  <c r="B18" i="8" s="1"/>
  <c r="B8" i="8"/>
  <c r="F96" i="5" l="1"/>
  <c r="D96" i="5"/>
  <c r="F96" i="4"/>
  <c r="D96" i="4"/>
  <c r="D96" i="3"/>
  <c r="F96" i="3"/>
  <c r="D68" i="5"/>
  <c r="D64" i="5"/>
  <c r="D60" i="5"/>
  <c r="D68" i="4"/>
  <c r="D64" i="4"/>
  <c r="D60" i="4"/>
  <c r="C124" i="5"/>
  <c r="B116" i="5"/>
  <c r="D100" i="5" s="1"/>
  <c r="B98" i="5"/>
  <c r="F95" i="5"/>
  <c r="D95" i="5"/>
  <c r="B87" i="5"/>
  <c r="B81" i="5"/>
  <c r="B83" i="5" s="1"/>
  <c r="B80" i="5"/>
  <c r="B79" i="5"/>
  <c r="C76" i="5"/>
  <c r="B68" i="5"/>
  <c r="B57" i="5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D101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4" i="3"/>
  <c r="F45" i="3" s="1"/>
  <c r="F42" i="3"/>
  <c r="D42" i="3"/>
  <c r="B34" i="3"/>
  <c r="D44" i="3" s="1"/>
  <c r="B30" i="3"/>
  <c r="C46" i="2"/>
  <c r="B57" i="3" s="1"/>
  <c r="C45" i="2"/>
  <c r="D43" i="2"/>
  <c r="D42" i="2"/>
  <c r="D27" i="2"/>
  <c r="D26" i="2"/>
  <c r="C19" i="2"/>
  <c r="F45" i="5" l="1"/>
  <c r="G39" i="5" s="1"/>
  <c r="D97" i="5"/>
  <c r="D98" i="5" s="1"/>
  <c r="D99" i="5" s="1"/>
  <c r="F97" i="5"/>
  <c r="F98" i="5" s="1"/>
  <c r="D101" i="5"/>
  <c r="I92" i="5"/>
  <c r="I39" i="5"/>
  <c r="I92" i="4"/>
  <c r="I92" i="3"/>
  <c r="D101" i="3"/>
  <c r="D98" i="3"/>
  <c r="D99" i="3" s="1"/>
  <c r="C50" i="2"/>
  <c r="B69" i="4"/>
  <c r="D33" i="2"/>
  <c r="D34" i="2"/>
  <c r="D35" i="2"/>
  <c r="D50" i="2"/>
  <c r="B69" i="5"/>
  <c r="D28" i="2"/>
  <c r="B57" i="4"/>
  <c r="D36" i="2"/>
  <c r="D25" i="2"/>
  <c r="D41" i="2"/>
  <c r="F46" i="3"/>
  <c r="I39" i="3"/>
  <c r="I39" i="4"/>
  <c r="D45" i="3"/>
  <c r="D46" i="3" s="1"/>
  <c r="D44" i="4"/>
  <c r="D45" i="4" s="1"/>
  <c r="F98" i="4"/>
  <c r="F99" i="4" s="1"/>
  <c r="F45" i="4"/>
  <c r="F46" i="4" s="1"/>
  <c r="E94" i="3"/>
  <c r="B69" i="3"/>
  <c r="D102" i="4"/>
  <c r="G38" i="4"/>
  <c r="G41" i="5"/>
  <c r="G94" i="5"/>
  <c r="E91" i="5"/>
  <c r="E92" i="5"/>
  <c r="E94" i="5"/>
  <c r="D102" i="5"/>
  <c r="F98" i="3"/>
  <c r="F99" i="3" s="1"/>
  <c r="G39" i="3"/>
  <c r="E41" i="3"/>
  <c r="D49" i="3"/>
  <c r="G38" i="3"/>
  <c r="G41" i="3"/>
  <c r="G40" i="3"/>
  <c r="D29" i="2"/>
  <c r="D37" i="2"/>
  <c r="D30" i="2"/>
  <c r="D38" i="2"/>
  <c r="B49" i="2"/>
  <c r="D44" i="5"/>
  <c r="D45" i="5" s="1"/>
  <c r="E41" i="5" s="1"/>
  <c r="D49" i="5"/>
  <c r="D31" i="2"/>
  <c r="D39" i="2"/>
  <c r="C49" i="2"/>
  <c r="G41" i="4"/>
  <c r="D97" i="4"/>
  <c r="D98" i="4" s="1"/>
  <c r="D99" i="4" s="1"/>
  <c r="G40" i="5"/>
  <c r="D49" i="4"/>
  <c r="D24" i="2"/>
  <c r="D32" i="2"/>
  <c r="D40" i="2"/>
  <c r="D49" i="2"/>
  <c r="G93" i="3" l="1"/>
  <c r="E93" i="5"/>
  <c r="E95" i="5" s="1"/>
  <c r="F46" i="5"/>
  <c r="G38" i="5"/>
  <c r="G42" i="5" s="1"/>
  <c r="E93" i="3"/>
  <c r="F99" i="5"/>
  <c r="G92" i="5"/>
  <c r="G91" i="5"/>
  <c r="G93" i="5"/>
  <c r="G93" i="4"/>
  <c r="G92" i="4"/>
  <c r="G94" i="4"/>
  <c r="G91" i="4"/>
  <c r="D102" i="3"/>
  <c r="E92" i="3"/>
  <c r="E91" i="3"/>
  <c r="G92" i="3"/>
  <c r="E38" i="3"/>
  <c r="E39" i="3"/>
  <c r="E40" i="3"/>
  <c r="G42" i="3"/>
  <c r="E38" i="4"/>
  <c r="E39" i="4"/>
  <c r="D46" i="4"/>
  <c r="E40" i="4"/>
  <c r="E41" i="4"/>
  <c r="G40" i="4"/>
  <c r="G39" i="4"/>
  <c r="E91" i="4"/>
  <c r="E93" i="4"/>
  <c r="E92" i="4"/>
  <c r="E40" i="5"/>
  <c r="G91" i="3"/>
  <c r="E94" i="4"/>
  <c r="E38" i="5"/>
  <c r="E39" i="5"/>
  <c r="D46" i="5"/>
  <c r="G94" i="3"/>
  <c r="G95" i="5" l="1"/>
  <c r="D103" i="5"/>
  <c r="E113" i="5" s="1"/>
  <c r="F113" i="5" s="1"/>
  <c r="D105" i="5"/>
  <c r="D105" i="4"/>
  <c r="G95" i="4"/>
  <c r="E95" i="4"/>
  <c r="G95" i="3"/>
  <c r="D103" i="3"/>
  <c r="E109" i="3" s="1"/>
  <c r="F109" i="3" s="1"/>
  <c r="E95" i="3"/>
  <c r="D103" i="4"/>
  <c r="E113" i="4" s="1"/>
  <c r="F113" i="4" s="1"/>
  <c r="D50" i="3"/>
  <c r="G70" i="3" s="1"/>
  <c r="H70" i="3" s="1"/>
  <c r="D52" i="3"/>
  <c r="E42" i="3"/>
  <c r="E42" i="4"/>
  <c r="D105" i="3"/>
  <c r="G42" i="4"/>
  <c r="D50" i="4"/>
  <c r="G69" i="4" s="1"/>
  <c r="H69" i="4" s="1"/>
  <c r="D52" i="4"/>
  <c r="D50" i="5"/>
  <c r="E42" i="5"/>
  <c r="D52" i="5"/>
  <c r="D104" i="5" l="1"/>
  <c r="G68" i="4"/>
  <c r="H68" i="4" s="1"/>
  <c r="E108" i="5"/>
  <c r="E112" i="5"/>
  <c r="F112" i="5" s="1"/>
  <c r="E110" i="5"/>
  <c r="F110" i="5" s="1"/>
  <c r="E111" i="5"/>
  <c r="F111" i="5" s="1"/>
  <c r="E109" i="5"/>
  <c r="F109" i="5" s="1"/>
  <c r="E108" i="4"/>
  <c r="E110" i="4"/>
  <c r="F110" i="4" s="1"/>
  <c r="D104" i="4"/>
  <c r="G67" i="4"/>
  <c r="H67" i="4" s="1"/>
  <c r="G63" i="4"/>
  <c r="H63" i="4" s="1"/>
  <c r="E110" i="3"/>
  <c r="F110" i="3" s="1"/>
  <c r="E113" i="3"/>
  <c r="F113" i="3" s="1"/>
  <c r="E112" i="3"/>
  <c r="F112" i="3" s="1"/>
  <c r="D104" i="3"/>
  <c r="E111" i="3"/>
  <c r="F111" i="3" s="1"/>
  <c r="E108" i="3"/>
  <c r="E111" i="4"/>
  <c r="F111" i="4" s="1"/>
  <c r="E112" i="4"/>
  <c r="F112" i="4" s="1"/>
  <c r="E109" i="4"/>
  <c r="F109" i="4" s="1"/>
  <c r="G68" i="3"/>
  <c r="H68" i="3" s="1"/>
  <c r="G62" i="3"/>
  <c r="H62" i="3" s="1"/>
  <c r="D51" i="3"/>
  <c r="G69" i="3"/>
  <c r="H69" i="3" s="1"/>
  <c r="G61" i="3"/>
  <c r="H61" i="3" s="1"/>
  <c r="G64" i="3"/>
  <c r="H64" i="3" s="1"/>
  <c r="G66" i="3"/>
  <c r="H66" i="3" s="1"/>
  <c r="G60" i="3"/>
  <c r="H60" i="3" s="1"/>
  <c r="G63" i="3"/>
  <c r="H63" i="3" s="1"/>
  <c r="G71" i="3"/>
  <c r="H71" i="3" s="1"/>
  <c r="G67" i="3"/>
  <c r="H67" i="3" s="1"/>
  <c r="G65" i="3"/>
  <c r="H65" i="3" s="1"/>
  <c r="G61" i="4"/>
  <c r="H61" i="4" s="1"/>
  <c r="G64" i="4"/>
  <c r="H64" i="4" s="1"/>
  <c r="G65" i="4"/>
  <c r="H65" i="4" s="1"/>
  <c r="D51" i="4"/>
  <c r="G70" i="4"/>
  <c r="H70" i="4" s="1"/>
  <c r="G62" i="4"/>
  <c r="H62" i="4" s="1"/>
  <c r="G60" i="4"/>
  <c r="G66" i="4"/>
  <c r="H66" i="4" s="1"/>
  <c r="G71" i="4"/>
  <c r="H71" i="4" s="1"/>
  <c r="D51" i="5"/>
  <c r="G66" i="5"/>
  <c r="H66" i="5" s="1"/>
  <c r="G65" i="5"/>
  <c r="H65" i="5" s="1"/>
  <c r="G61" i="5"/>
  <c r="H61" i="5" s="1"/>
  <c r="G67" i="5"/>
  <c r="H67" i="5" s="1"/>
  <c r="G69" i="5"/>
  <c r="H69" i="5" s="1"/>
  <c r="G68" i="5"/>
  <c r="H68" i="5" s="1"/>
  <c r="G70" i="5"/>
  <c r="H70" i="5" s="1"/>
  <c r="G62" i="5"/>
  <c r="H62" i="5" s="1"/>
  <c r="G71" i="5"/>
  <c r="H71" i="5" s="1"/>
  <c r="G64" i="5"/>
  <c r="H64" i="5" s="1"/>
  <c r="G60" i="5"/>
  <c r="G63" i="5"/>
  <c r="H63" i="5" s="1"/>
  <c r="F108" i="4"/>
  <c r="E117" i="5" l="1"/>
  <c r="E120" i="5"/>
  <c r="F108" i="5"/>
  <c r="D125" i="5" s="1"/>
  <c r="E119" i="5"/>
  <c r="E115" i="5"/>
  <c r="E116" i="5" s="1"/>
  <c r="E119" i="4"/>
  <c r="E115" i="4"/>
  <c r="E116" i="4" s="1"/>
  <c r="E115" i="3"/>
  <c r="E116" i="3" s="1"/>
  <c r="E117" i="3"/>
  <c r="E120" i="3"/>
  <c r="F108" i="3"/>
  <c r="F119" i="3" s="1"/>
  <c r="E119" i="3"/>
  <c r="E117" i="4"/>
  <c r="E120" i="4"/>
  <c r="G74" i="3"/>
  <c r="G72" i="3"/>
  <c r="G73" i="3" s="1"/>
  <c r="G74" i="4"/>
  <c r="G72" i="4"/>
  <c r="G73" i="4" s="1"/>
  <c r="H60" i="4"/>
  <c r="H72" i="4" s="1"/>
  <c r="G74" i="5"/>
  <c r="G72" i="5"/>
  <c r="G73" i="5" s="1"/>
  <c r="H60" i="5"/>
  <c r="H74" i="3"/>
  <c r="H72" i="3"/>
  <c r="F119" i="4"/>
  <c r="F120" i="4"/>
  <c r="F125" i="4"/>
  <c r="F117" i="4"/>
  <c r="D125" i="4"/>
  <c r="F115" i="4"/>
  <c r="F117" i="5" l="1"/>
  <c r="F125" i="5"/>
  <c r="F119" i="5"/>
  <c r="F115" i="5"/>
  <c r="G124" i="5" s="1"/>
  <c r="F120" i="5"/>
  <c r="F115" i="3"/>
  <c r="G124" i="3" s="1"/>
  <c r="D125" i="3"/>
  <c r="F117" i="3"/>
  <c r="F120" i="3"/>
  <c r="F125" i="3"/>
  <c r="H74" i="4"/>
  <c r="H72" i="5"/>
  <c r="H74" i="5"/>
  <c r="H73" i="4"/>
  <c r="G76" i="4"/>
  <c r="H73" i="3"/>
  <c r="G76" i="3"/>
  <c r="G124" i="4"/>
  <c r="F116" i="4"/>
  <c r="F116" i="5" l="1"/>
  <c r="F116" i="3"/>
  <c r="G76" i="5"/>
  <c r="H73" i="5"/>
</calcChain>
</file>

<file path=xl/sharedStrings.xml><?xml version="1.0" encoding="utf-8"?>
<sst xmlns="http://schemas.openxmlformats.org/spreadsheetml/2006/main" count="612" uniqueCount="142">
  <si>
    <t>HPLC System Suitability Report</t>
  </si>
  <si>
    <t>Analysis Data</t>
  </si>
  <si>
    <t>Sample(s)</t>
  </si>
  <si>
    <t>Reference Substance:</t>
  </si>
  <si>
    <t xml:space="preserve">LAMIVUDINE 150 MG &amp; ZIDOVUDINE 300 MG TABLETS </t>
  </si>
  <si>
    <t>% age Purity:</t>
  </si>
  <si>
    <t>NDQB201612293</t>
  </si>
  <si>
    <t>Weight (mg):</t>
  </si>
  <si>
    <t xml:space="preserve">LAMIVUDINE  &amp; ZIDOVUDINE </t>
  </si>
  <si>
    <t>Standard Conc (mg/mL):</t>
  </si>
  <si>
    <t>Each film coated tablet contains: Lamivudine USP 150 mg and Zidovudine USP 300 mg.</t>
  </si>
  <si>
    <t>2016-12-15 11:25:05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</si>
  <si>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</si>
  <si>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</si>
  <si>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</si>
  <si>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</si>
  <si>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</si>
  <si>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</si>
  <si>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</si>
  <si>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</si>
  <si>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</si>
  <si>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</si>
  <si>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</si>
  <si>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</si>
  <si>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</si>
  <si>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</si>
  <si>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</si>
  <si>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</si>
  <si>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</si>
  <si>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</si>
  <si>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</si>
  <si>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</si>
  <si>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</si>
  <si>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</si>
  <si>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</si>
  <si>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</si>
  <si>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</si>
  <si>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</si>
  <si>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</si>
  <si>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</si>
  <si>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</si>
  <si>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</si>
  <si>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</si>
  <si>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</si>
  <si>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</si>
  <si>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</si>
  <si>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</si>
  <si>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</si>
  <si>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</si>
  <si>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</si>
  <si>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</si>
  <si>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</si>
  <si>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</si>
  <si>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</si>
  <si>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</si>
  <si>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</si>
  <si>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</si>
  <si>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</si>
  <si>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</si>
  <si>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</si>
  <si>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</si>
  <si>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</si>
  <si>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</si>
  <si>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</si>
  <si>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</si>
  <si>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</si>
  <si>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</si>
  <si>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</si>
  <si>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</si>
  <si>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</si>
  <si>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</si>
  <si>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</si>
  <si>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</si>
  <si>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</si>
  <si>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</si>
  <si>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</si>
  <si>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</si>
  <si>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</si>
  <si>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</si>
  <si>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</si>
  <si>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</si>
  <si>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</si>
  <si>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</si>
  <si>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</si>
  <si>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</si>
  <si>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</si>
  <si>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</si>
  <si>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</si>
  <si>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</si>
  <si>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</si>
  <si>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</si>
  <si>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</si>
  <si>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</si>
  <si>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</si>
  <si>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</si>
  <si>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</si>
  <si>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</si>
  <si>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</si>
  <si>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</si>
  <si>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</si>
  <si>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</si>
  <si>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</si>
  <si>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</si>
  <si>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</si>
  <si>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</si>
  <si>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</si>
  <si>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</si>
  <si>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</si>
  <si>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</si>
  <si>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</si>
  <si>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</si>
  <si>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</si>
  <si>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</si>
  <si>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</si>
  <si>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</si>
  <si>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</si>
  <si>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</si>
  <si>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</si>
  <si>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</si>
  <si>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</si>
  <si>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</si>
  <si>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</si>
  <si>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</si>
  <si>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</si>
  <si>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</si>
  <si>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</si>
  <si>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</si>
  <si>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Nevirapine</t>
  </si>
  <si>
    <t>Zidovudine</t>
  </si>
  <si>
    <t>USP</t>
  </si>
  <si>
    <t>RM</t>
  </si>
  <si>
    <t>L42 3</t>
  </si>
  <si>
    <t>LAMIVUDINE</t>
  </si>
  <si>
    <t>Each film coated tablet contains: Lamivudine USP 150 mg , Nevirapine 200mg and Zidovudine USP 300 mg.</t>
  </si>
  <si>
    <t>Assay &amp; Dissolution</t>
  </si>
  <si>
    <t>LAMIVUDINE, NEVIRAPINE &amp; ZIDOVUDINE TABS</t>
  </si>
  <si>
    <t xml:space="preserve">Lamivudine  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</si>
  <si>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</si>
  <si>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</si>
  <si>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</si>
  <si>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Bugigi</t>
  </si>
  <si>
    <t>S. Mwangi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</si>
</sst>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5" fillId="2" borderId="0"/>
    <xf numFmtId="0" fontId="24" fillId="2" borderId="0"/>
    <xf numFmtId="0" fontId="24" fillId="2" borderId="0"/>
    <xf numFmtId="0" fontId="24" fillId="2" borderId="0"/>
  </cellStyleXfs>
  <cellXfs count="70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6" fillId="2" borderId="0" xfId="1" applyFont="1" applyFill="1"/>
    <xf numFmtId="0" fontId="27" fillId="2" borderId="0" xfId="1" applyFont="1" applyFill="1"/>
    <xf numFmtId="0" fontId="27" fillId="2" borderId="0" xfId="1" applyFont="1" applyFill="1" applyAlignment="1">
      <alignment horizontal="righ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9" fillId="2" borderId="0" xfId="1" applyFont="1" applyFill="1" applyAlignment="1">
      <alignment horizontal="left"/>
    </xf>
    <xf numFmtId="0" fontId="30" fillId="2" borderId="0" xfId="1" applyFont="1" applyFill="1" applyAlignment="1">
      <alignment horizontal="left"/>
    </xf>
    <xf numFmtId="0" fontId="30" fillId="2" borderId="0" xfId="1" applyFont="1" applyFill="1" applyAlignment="1">
      <alignment horizontal="center"/>
    </xf>
    <xf numFmtId="0" fontId="31" fillId="2" borderId="0" xfId="1" applyFont="1" applyFill="1"/>
    <xf numFmtId="0" fontId="30" fillId="2" borderId="0" xfId="1" applyFont="1" applyFill="1"/>
    <xf numFmtId="2" fontId="30" fillId="2" borderId="0" xfId="1" applyNumberFormat="1" applyFont="1" applyFill="1" applyAlignment="1">
      <alignment horizontal="center"/>
    </xf>
    <xf numFmtId="164" fontId="30" fillId="2" borderId="0" xfId="1" applyNumberFormat="1" applyFont="1" applyFill="1" applyAlignment="1">
      <alignment horizontal="center"/>
    </xf>
    <xf numFmtId="0" fontId="30" fillId="2" borderId="1" xfId="1" applyFont="1" applyFill="1" applyBorder="1" applyAlignment="1">
      <alignment horizontal="center"/>
    </xf>
    <xf numFmtId="0" fontId="30" fillId="2" borderId="2" xfId="1" applyFont="1" applyFill="1" applyBorder="1" applyAlignment="1">
      <alignment horizontal="center"/>
    </xf>
    <xf numFmtId="0" fontId="31" fillId="2" borderId="3" xfId="1" applyFont="1" applyFill="1" applyBorder="1" applyAlignment="1">
      <alignment horizontal="center"/>
    </xf>
    <xf numFmtId="0" fontId="32" fillId="3" borderId="3" xfId="1" applyFont="1" applyFill="1" applyBorder="1" applyAlignment="1" applyProtection="1">
      <alignment horizontal="center"/>
      <protection locked="0"/>
    </xf>
    <xf numFmtId="2" fontId="32" fillId="3" borderId="3" xfId="1" applyNumberFormat="1" applyFont="1" applyFill="1" applyBorder="1" applyAlignment="1" applyProtection="1">
      <alignment horizontal="center"/>
      <protection locked="0"/>
    </xf>
    <xf numFmtId="2" fontId="32" fillId="3" borderId="4" xfId="1" applyNumberFormat="1" applyFont="1" applyFill="1" applyBorder="1" applyAlignment="1" applyProtection="1">
      <alignment horizontal="center"/>
      <protection locked="0"/>
    </xf>
    <xf numFmtId="0" fontId="32" fillId="3" borderId="5" xfId="1" applyFont="1" applyFill="1" applyBorder="1" applyAlignment="1" applyProtection="1">
      <alignment horizontal="center"/>
      <protection locked="0"/>
    </xf>
    <xf numFmtId="2" fontId="32" fillId="3" borderId="5" xfId="1" applyNumberFormat="1" applyFont="1" applyFill="1" applyBorder="1" applyAlignment="1" applyProtection="1">
      <alignment horizontal="center"/>
      <protection locked="0"/>
    </xf>
    <xf numFmtId="0" fontId="31" fillId="2" borderId="4" xfId="1" applyFont="1" applyFill="1" applyBorder="1"/>
    <xf numFmtId="1" fontId="30" fillId="4" borderId="2" xfId="1" applyNumberFormat="1" applyFont="1" applyFill="1" applyBorder="1" applyAlignment="1">
      <alignment horizontal="center"/>
    </xf>
    <xf numFmtId="1" fontId="30" fillId="4" borderId="1" xfId="1" applyNumberFormat="1" applyFont="1" applyFill="1" applyBorder="1" applyAlignment="1">
      <alignment horizontal="center"/>
    </xf>
    <xf numFmtId="2" fontId="30" fillId="4" borderId="1" xfId="1" applyNumberFormat="1" applyFont="1" applyFill="1" applyBorder="1" applyAlignment="1">
      <alignment horizontal="center"/>
    </xf>
    <xf numFmtId="0" fontId="31" fillId="2" borderId="3" xfId="1" applyFont="1" applyFill="1" applyBorder="1"/>
    <xf numFmtId="10" fontId="30" fillId="5" borderId="1" xfId="1" applyNumberFormat="1" applyFont="1" applyFill="1" applyBorder="1" applyAlignment="1">
      <alignment horizontal="center"/>
    </xf>
    <xf numFmtId="165" fontId="30" fillId="2" borderId="0" xfId="1" applyNumberFormat="1" applyFont="1" applyFill="1" applyAlignment="1">
      <alignment horizontal="center"/>
    </xf>
    <xf numFmtId="0" fontId="31" fillId="2" borderId="6" xfId="1" applyFont="1" applyFill="1" applyBorder="1"/>
    <xf numFmtId="0" fontId="31" fillId="2" borderId="5" xfId="1" applyFont="1" applyFill="1" applyBorder="1"/>
    <xf numFmtId="0" fontId="30" fillId="4" borderId="1" xfId="1" applyFont="1" applyFill="1" applyBorder="1" applyAlignment="1">
      <alignment horizontal="center"/>
    </xf>
    <xf numFmtId="0" fontId="30" fillId="2" borderId="7" xfId="1" applyFont="1" applyFill="1" applyBorder="1" applyAlignment="1">
      <alignment horizontal="center"/>
    </xf>
    <xf numFmtId="0" fontId="31" fillId="2" borderId="7" xfId="1" applyFont="1" applyFill="1" applyBorder="1"/>
    <xf numFmtId="0" fontId="31" fillId="2" borderId="8" xfId="1" applyFont="1" applyFill="1" applyBorder="1"/>
    <xf numFmtId="0" fontId="31" fillId="2" borderId="0" xfId="1" applyFont="1" applyFill="1" applyAlignment="1" applyProtection="1">
      <alignment horizontal="left"/>
      <protection locked="0"/>
    </xf>
    <xf numFmtId="0" fontId="31" fillId="2" borderId="0" xfId="1" applyFont="1" applyFill="1" applyProtection="1">
      <protection locked="0"/>
    </xf>
    <xf numFmtId="0" fontId="27" fillId="2" borderId="9" xfId="1" applyFont="1" applyFill="1" applyBorder="1"/>
    <xf numFmtId="0" fontId="27" fillId="2" borderId="0" xfId="1" applyFont="1" applyFill="1" applyAlignment="1">
      <alignment horizontal="center"/>
    </xf>
    <xf numFmtId="10" fontId="27" fillId="2" borderId="9" xfId="1" applyNumberFormat="1" applyFont="1" applyFill="1" applyBorder="1"/>
    <xf numFmtId="0" fontId="25" fillId="2" borderId="0" xfId="1" applyFill="1"/>
    <xf numFmtId="0" fontId="26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6" fillId="2" borderId="0" xfId="1" applyFont="1" applyFill="1" applyAlignment="1">
      <alignment horizontal="right"/>
    </xf>
    <xf numFmtId="0" fontId="27" fillId="2" borderId="7" xfId="1" applyFont="1" applyFill="1" applyBorder="1"/>
    <xf numFmtId="15" fontId="27" fillId="2" borderId="7" xfId="1" applyNumberFormat="1" applyFont="1" applyFill="1" applyBorder="1"/>
    <xf numFmtId="0" fontId="26" fillId="2" borderId="11" xfId="1" applyFont="1" applyFill="1" applyBorder="1"/>
    <xf numFmtId="15" fontId="26" fillId="2" borderId="11" xfId="1" applyNumberFormat="1" applyFont="1" applyFill="1" applyBorder="1"/>
    <xf numFmtId="0" fontId="27" fillId="2" borderId="11" xfId="1" applyFont="1" applyFill="1" applyBorder="1"/>
  </cellXfs>
  <cellStyles count="5">
    <cellStyle name="Normal" xfId="0" builtinId="0"/>
    <cellStyle name="Normal 2" xfId="2"/>
    <cellStyle name="Normal 2 2" xfId="1"/>
    <cellStyle name="Normal 3" xfId="3"/>
    <cellStyle name="Normal 4" xfId="4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F39" sqref="F3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1" t="s">
        <v>26</v>
      </c>
      <c r="B11" s="612"/>
      <c r="C11" s="612"/>
      <c r="D11" s="612"/>
      <c r="E11" s="612"/>
      <c r="F11" s="613"/>
      <c r="G11" s="43"/>
    </row>
    <row r="12" spans="1:7" ht="16.5" customHeight="1" x14ac:dyDescent="0.3">
      <c r="A12" s="610" t="s">
        <v>27</v>
      </c>
      <c r="B12" s="610"/>
      <c r="C12" s="610"/>
      <c r="D12" s="610"/>
      <c r="E12" s="610"/>
      <c r="F12" s="610"/>
      <c r="G12" s="42"/>
    </row>
    <row r="14" spans="1:7" ht="16.5" customHeight="1" x14ac:dyDescent="0.3">
      <c r="A14" s="615" t="s">
        <v>28</v>
      </c>
      <c r="B14" s="615"/>
      <c r="C14" s="12" t="s">
        <v>4</v>
      </c>
    </row>
    <row r="15" spans="1:7" ht="16.5" customHeight="1" x14ac:dyDescent="0.3">
      <c r="A15" s="615" t="s">
        <v>29</v>
      </c>
      <c r="B15" s="615"/>
      <c r="C15" s="12" t="s">
        <v>6</v>
      </c>
    </row>
    <row r="16" spans="1:7" ht="16.5" customHeight="1" x14ac:dyDescent="0.3">
      <c r="A16" s="615" t="s">
        <v>30</v>
      </c>
      <c r="B16" s="615"/>
      <c r="C16" s="12" t="s">
        <v>8</v>
      </c>
    </row>
    <row r="17" spans="1:5" ht="16.5" customHeight="1" x14ac:dyDescent="0.3">
      <c r="A17" s="615" t="s">
        <v>31</v>
      </c>
      <c r="B17" s="615"/>
      <c r="C17" s="12" t="s">
        <v>10</v>
      </c>
    </row>
    <row r="18" spans="1:5" ht="16.5" customHeight="1" x14ac:dyDescent="0.3">
      <c r="A18" s="615" t="s">
        <v>32</v>
      </c>
      <c r="B18" s="615"/>
      <c r="C18" s="49" t="s">
        <v>11</v>
      </c>
    </row>
    <row r="19" spans="1:5" ht="16.5" customHeight="1" x14ac:dyDescent="0.3">
      <c r="A19" s="615" t="s">
        <v>33</v>
      </c>
      <c r="B19" s="61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0" t="s">
        <v>1</v>
      </c>
      <c r="B21" s="610"/>
      <c r="C21" s="11" t="s">
        <v>34</v>
      </c>
      <c r="D21" s="18"/>
    </row>
    <row r="22" spans="1:5" ht="15.75" customHeight="1" x14ac:dyDescent="0.3">
      <c r="A22" s="614"/>
      <c r="B22" s="614"/>
      <c r="C22" s="9"/>
      <c r="D22" s="614"/>
      <c r="E22" s="614"/>
    </row>
    <row r="23" spans="1:5" ht="33.75" customHeight="1" x14ac:dyDescent="0.3">
      <c r="C23" s="38" t="s">
        <v>35</v>
      </c>
      <c r="D23" s="37" t="s">
        <v>36</v>
      </c>
      <c r="E23" s="4"/>
    </row>
    <row r="24" spans="1:5" ht="15.75" customHeight="1" x14ac:dyDescent="0.3">
      <c r="C24" s="47">
        <v>1210.44</v>
      </c>
      <c r="D24" s="39">
        <f t="shared" ref="D24:D43" si="0">(C24-$C$46)/$C$46</f>
        <v>-1.3958413946194908E-2</v>
      </c>
      <c r="E24" s="5"/>
    </row>
    <row r="25" spans="1:5" ht="15.75" customHeight="1" x14ac:dyDescent="0.3">
      <c r="C25" s="47">
        <v>1231.51</v>
      </c>
      <c r="D25" s="40">
        <f t="shared" si="0"/>
        <v>3.2055067918454819E-3</v>
      </c>
      <c r="E25" s="5"/>
    </row>
    <row r="26" spans="1:5" ht="15.75" customHeight="1" x14ac:dyDescent="0.3">
      <c r="C26" s="47">
        <v>1236.4000000000001</v>
      </c>
      <c r="D26" s="40">
        <f t="shared" si="0"/>
        <v>7.1889701240248592E-3</v>
      </c>
      <c r="E26" s="5"/>
    </row>
    <row r="27" spans="1:5" ht="15.75" customHeight="1" x14ac:dyDescent="0.3">
      <c r="C27" s="47">
        <v>1220.5999999999999</v>
      </c>
      <c r="D27" s="40">
        <f t="shared" si="0"/>
        <v>-5.6819338940597213E-3</v>
      </c>
      <c r="E27" s="5"/>
    </row>
    <row r="28" spans="1:5" ht="15.75" customHeight="1" x14ac:dyDescent="0.3">
      <c r="C28" s="47">
        <v>1246.44</v>
      </c>
      <c r="D28" s="40">
        <f t="shared" si="0"/>
        <v>1.5367696474756961E-2</v>
      </c>
      <c r="E28" s="5"/>
    </row>
    <row r="29" spans="1:5" ht="15.75" customHeight="1" x14ac:dyDescent="0.3">
      <c r="C29" s="47">
        <v>1231.6300000000001</v>
      </c>
      <c r="D29" s="40">
        <f t="shared" si="0"/>
        <v>3.303260493248751E-3</v>
      </c>
      <c r="E29" s="5"/>
    </row>
    <row r="30" spans="1:5" ht="15.75" customHeight="1" x14ac:dyDescent="0.3">
      <c r="C30" s="47">
        <v>1234.3900000000001</v>
      </c>
      <c r="D30" s="40">
        <f t="shared" si="0"/>
        <v>5.5515956255217198E-3</v>
      </c>
      <c r="E30" s="5"/>
    </row>
    <row r="31" spans="1:5" ht="15.75" customHeight="1" x14ac:dyDescent="0.3">
      <c r="C31" s="47">
        <v>1209.54</v>
      </c>
      <c r="D31" s="40">
        <f t="shared" si="0"/>
        <v>-1.4691566706718779E-2</v>
      </c>
      <c r="E31" s="5"/>
    </row>
    <row r="32" spans="1:5" ht="15.75" customHeight="1" x14ac:dyDescent="0.3">
      <c r="C32" s="47">
        <v>1236.47</v>
      </c>
      <c r="D32" s="40">
        <f t="shared" si="0"/>
        <v>7.2459931165099909E-3</v>
      </c>
      <c r="E32" s="5"/>
    </row>
    <row r="33" spans="1:7" ht="15.75" customHeight="1" x14ac:dyDescent="0.3">
      <c r="C33" s="47">
        <v>1245.96</v>
      </c>
      <c r="D33" s="40">
        <f t="shared" si="0"/>
        <v>1.4976681669144256E-2</v>
      </c>
      <c r="E33" s="5"/>
    </row>
    <row r="34" spans="1:7" ht="15.75" customHeight="1" x14ac:dyDescent="0.3">
      <c r="C34" s="47">
        <v>1221.21</v>
      </c>
      <c r="D34" s="40">
        <f t="shared" si="0"/>
        <v>-5.185019245260155E-3</v>
      </c>
      <c r="E34" s="5"/>
    </row>
    <row r="35" spans="1:7" ht="15.75" customHeight="1" x14ac:dyDescent="0.3">
      <c r="C35" s="47">
        <v>1231.67</v>
      </c>
      <c r="D35" s="40">
        <f t="shared" si="0"/>
        <v>3.3358450603831122E-3</v>
      </c>
      <c r="E35" s="5"/>
    </row>
    <row r="36" spans="1:7" ht="15.75" customHeight="1" x14ac:dyDescent="0.3">
      <c r="C36" s="47">
        <v>1245.3800000000001</v>
      </c>
      <c r="D36" s="40">
        <f t="shared" si="0"/>
        <v>1.4504205445695646E-2</v>
      </c>
      <c r="E36" s="5"/>
    </row>
    <row r="37" spans="1:7" ht="15.75" customHeight="1" x14ac:dyDescent="0.3">
      <c r="C37" s="47">
        <v>1225.8399999999999</v>
      </c>
      <c r="D37" s="40">
        <f t="shared" si="0"/>
        <v>-1.4133555994544971E-3</v>
      </c>
      <c r="E37" s="5"/>
    </row>
    <row r="38" spans="1:7" ht="15.75" customHeight="1" x14ac:dyDescent="0.3">
      <c r="C38" s="47">
        <v>1216.42</v>
      </c>
      <c r="D38" s="40">
        <f t="shared" si="0"/>
        <v>-9.087021159603444E-3</v>
      </c>
      <c r="E38" s="5"/>
    </row>
    <row r="39" spans="1:7" ht="15.75" customHeight="1" x14ac:dyDescent="0.3">
      <c r="C39" s="47">
        <v>1211.68</v>
      </c>
      <c r="D39" s="40">
        <f t="shared" si="0"/>
        <v>-1.2948292365028782E-2</v>
      </c>
      <c r="E39" s="5"/>
    </row>
    <row r="40" spans="1:7" ht="15.75" customHeight="1" x14ac:dyDescent="0.3">
      <c r="C40" s="47">
        <v>1223.43</v>
      </c>
      <c r="D40" s="40">
        <f t="shared" si="0"/>
        <v>-3.3765757693014343E-3</v>
      </c>
      <c r="E40" s="5"/>
    </row>
    <row r="41" spans="1:7" ht="15.75" customHeight="1" x14ac:dyDescent="0.3">
      <c r="C41" s="47">
        <v>1231.1099999999999</v>
      </c>
      <c r="D41" s="40">
        <f t="shared" si="0"/>
        <v>2.879661120501498E-3</v>
      </c>
      <c r="E41" s="5"/>
    </row>
    <row r="42" spans="1:7" ht="15.75" customHeight="1" x14ac:dyDescent="0.3">
      <c r="C42" s="47">
        <v>1211.95</v>
      </c>
      <c r="D42" s="40">
        <f t="shared" si="0"/>
        <v>-1.2728346536871656E-2</v>
      </c>
      <c r="E42" s="5"/>
    </row>
    <row r="43" spans="1:7" ht="16.5" customHeight="1" x14ac:dyDescent="0.3">
      <c r="C43" s="48">
        <v>1229.43</v>
      </c>
      <c r="D43" s="41">
        <f t="shared" si="0"/>
        <v>1.5111093008572107E-3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37</v>
      </c>
      <c r="C45" s="35">
        <f>SUM(C24:C44)</f>
        <v>24551.500000000004</v>
      </c>
      <c r="D45" s="30"/>
      <c r="E45" s="6"/>
    </row>
    <row r="46" spans="1:7" ht="17.25" customHeight="1" x14ac:dyDescent="0.3">
      <c r="B46" s="34" t="s">
        <v>38</v>
      </c>
      <c r="C46" s="36">
        <f>AVERAGE(C24:C44)</f>
        <v>1227.5750000000003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38</v>
      </c>
      <c r="C48" s="37" t="s">
        <v>39</v>
      </c>
      <c r="D48" s="32"/>
      <c r="G48" s="10"/>
    </row>
    <row r="49" spans="1:6" ht="17.25" customHeight="1" x14ac:dyDescent="0.3">
      <c r="B49" s="608">
        <f>C46</f>
        <v>1227.5750000000003</v>
      </c>
      <c r="C49" s="45">
        <f>-IF(C46&lt;=80,10%,IF(C46&lt;250,7.5%,5%))</f>
        <v>-0.05</v>
      </c>
      <c r="D49" s="33">
        <f>IF(C46&lt;=80,C46*0.9,IF(C46&lt;250,C46*0.925,C46*0.95))</f>
        <v>1166.1962500000002</v>
      </c>
    </row>
    <row r="50" spans="1:6" ht="17.25" customHeight="1" x14ac:dyDescent="0.3">
      <c r="B50" s="609"/>
      <c r="C50" s="46">
        <f>IF(C46&lt;=80, 10%, IF(C46&lt;250, 7.5%, 5%))</f>
        <v>0.05</v>
      </c>
      <c r="D50" s="33">
        <f>IF(C46&lt;=80, C46*1.1, IF(C46&lt;250, C46*1.075, C46*1.05))</f>
        <v>1288.9537500000004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21</v>
      </c>
      <c r="C52" s="19"/>
      <c r="D52" s="20" t="s">
        <v>22</v>
      </c>
      <c r="E52" s="21"/>
      <c r="F52" s="20" t="s">
        <v>23</v>
      </c>
    </row>
    <row r="53" spans="1:6" ht="34.5" customHeight="1" x14ac:dyDescent="0.3">
      <c r="A53" s="22" t="s">
        <v>24</v>
      </c>
      <c r="B53" s="23"/>
      <c r="C53" s="24"/>
      <c r="D53" s="23"/>
      <c r="E53" s="13"/>
      <c r="F53" s="25"/>
    </row>
    <row r="54" spans="1:6" ht="34.5" customHeight="1" x14ac:dyDescent="0.3">
      <c r="A54" s="22" t="s">
        <v>25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="60" zoomScaleNormal="100" workbookViewId="0">
      <selection activeCell="C29" sqref="C29"/>
    </sheetView>
  </sheetViews>
  <sheetFormatPr defaultRowHeight="13.5" x14ac:dyDescent="0.25"/>
  <cols>
    <col min="1" max="1" width="27.5703125" style="658" customWidth="1"/>
    <col min="2" max="2" width="20.42578125" style="658" customWidth="1"/>
    <col min="3" max="3" width="31.85546875" style="658" customWidth="1"/>
    <col min="4" max="4" width="25.85546875" style="658" customWidth="1"/>
    <col min="5" max="5" width="25.7109375" style="658" customWidth="1"/>
    <col min="6" max="6" width="23.140625" style="658" customWidth="1"/>
    <col min="7" max="7" width="28.42578125" style="658" customWidth="1"/>
    <col min="8" max="8" width="21.5703125" style="658" customWidth="1"/>
    <col min="9" max="9" width="9.140625" style="658" customWidth="1"/>
    <col min="10" max="16384" width="9.140625" style="695"/>
  </cols>
  <sheetData>
    <row r="1" spans="1:6" s="658" customFormat="1" ht="15" customHeight="1" x14ac:dyDescent="0.3">
      <c r="A1" s="657"/>
      <c r="C1" s="659"/>
      <c r="F1" s="659"/>
    </row>
    <row r="2" spans="1:6" s="658" customFormat="1" ht="18.75" customHeight="1" x14ac:dyDescent="0.3">
      <c r="A2" s="660" t="s">
        <v>0</v>
      </c>
      <c r="B2" s="660"/>
      <c r="C2" s="660"/>
      <c r="D2" s="660"/>
      <c r="E2" s="660"/>
    </row>
    <row r="3" spans="1:6" s="658" customFormat="1" ht="16.5" customHeight="1" x14ac:dyDescent="0.3">
      <c r="A3" s="661" t="s">
        <v>1</v>
      </c>
      <c r="B3" s="662" t="s">
        <v>134</v>
      </c>
    </row>
    <row r="4" spans="1:6" s="658" customFormat="1" ht="16.5" customHeight="1" x14ac:dyDescent="0.3">
      <c r="A4" s="663" t="s">
        <v>2</v>
      </c>
      <c r="B4" s="663" t="s">
        <v>135</v>
      </c>
      <c r="D4" s="664"/>
      <c r="E4" s="665"/>
    </row>
    <row r="5" spans="1:6" s="658" customFormat="1" ht="16.5" customHeight="1" x14ac:dyDescent="0.3">
      <c r="A5" s="666" t="s">
        <v>3</v>
      </c>
      <c r="B5" s="666" t="s">
        <v>136</v>
      </c>
      <c r="C5" s="665"/>
      <c r="D5" s="665"/>
      <c r="E5" s="665"/>
    </row>
    <row r="6" spans="1:6" s="658" customFormat="1" ht="16.5" customHeight="1" x14ac:dyDescent="0.3">
      <c r="A6" s="666" t="s">
        <v>5</v>
      </c>
      <c r="B6" s="667">
        <v>99.8</v>
      </c>
      <c r="C6" s="665"/>
      <c r="D6" s="665"/>
      <c r="E6" s="665"/>
    </row>
    <row r="7" spans="1:6" s="658" customFormat="1" ht="16.5" customHeight="1" x14ac:dyDescent="0.3">
      <c r="A7" s="663" t="s">
        <v>7</v>
      </c>
      <c r="B7" s="667">
        <v>9.43</v>
      </c>
      <c r="C7" s="665"/>
      <c r="D7" s="665"/>
      <c r="E7" s="665"/>
    </row>
    <row r="8" spans="1:6" s="658" customFormat="1" ht="16.5" customHeight="1" x14ac:dyDescent="0.3">
      <c r="A8" s="663" t="s">
        <v>9</v>
      </c>
      <c r="B8" s="668">
        <f>B7/10*4/25</f>
        <v>0.15087999999999999</v>
      </c>
      <c r="C8" s="665"/>
      <c r="D8" s="665"/>
      <c r="E8" s="665"/>
    </row>
    <row r="9" spans="1:6" s="658" customFormat="1" ht="15.75" customHeight="1" x14ac:dyDescent="0.25">
      <c r="A9" s="665"/>
      <c r="B9" s="665"/>
      <c r="C9" s="665"/>
      <c r="D9" s="665"/>
      <c r="E9" s="665"/>
    </row>
    <row r="10" spans="1:6" s="658" customFormat="1" ht="16.5" customHeight="1" x14ac:dyDescent="0.3">
      <c r="A10" s="669" t="s">
        <v>12</v>
      </c>
      <c r="B10" s="670" t="s">
        <v>13</v>
      </c>
      <c r="C10" s="669" t="s">
        <v>14</v>
      </c>
      <c r="D10" s="669" t="s">
        <v>15</v>
      </c>
      <c r="E10" s="669" t="s">
        <v>16</v>
      </c>
    </row>
    <row r="11" spans="1:6" s="658" customFormat="1" ht="16.5" customHeight="1" x14ac:dyDescent="0.3">
      <c r="A11" s="671">
        <v>1</v>
      </c>
      <c r="B11" s="672">
        <v>1696955</v>
      </c>
      <c r="C11" s="672">
        <v>7513</v>
      </c>
      <c r="D11" s="673">
        <v>1.18</v>
      </c>
      <c r="E11" s="674">
        <v>2.95</v>
      </c>
    </row>
    <row r="12" spans="1:6" s="658" customFormat="1" ht="16.5" customHeight="1" x14ac:dyDescent="0.3">
      <c r="A12" s="671">
        <v>2</v>
      </c>
      <c r="B12" s="672">
        <v>1690481</v>
      </c>
      <c r="C12" s="672">
        <v>7544</v>
      </c>
      <c r="D12" s="673">
        <v>1.18</v>
      </c>
      <c r="E12" s="673">
        <v>2.95</v>
      </c>
    </row>
    <row r="13" spans="1:6" s="658" customFormat="1" ht="16.5" customHeight="1" x14ac:dyDescent="0.3">
      <c r="A13" s="671">
        <v>3</v>
      </c>
      <c r="B13" s="672">
        <v>1693205</v>
      </c>
      <c r="C13" s="672">
        <v>7544</v>
      </c>
      <c r="D13" s="673">
        <v>1.18</v>
      </c>
      <c r="E13" s="673">
        <v>2.95</v>
      </c>
    </row>
    <row r="14" spans="1:6" s="658" customFormat="1" ht="16.5" customHeight="1" x14ac:dyDescent="0.3">
      <c r="A14" s="671">
        <v>4</v>
      </c>
      <c r="B14" s="672">
        <v>1691056</v>
      </c>
      <c r="C14" s="672">
        <v>7551</v>
      </c>
      <c r="D14" s="673">
        <v>1.17</v>
      </c>
      <c r="E14" s="673">
        <v>2.95</v>
      </c>
    </row>
    <row r="15" spans="1:6" s="658" customFormat="1" ht="16.5" customHeight="1" x14ac:dyDescent="0.3">
      <c r="A15" s="671">
        <v>5</v>
      </c>
      <c r="B15" s="672">
        <v>1700352</v>
      </c>
      <c r="C15" s="672">
        <v>7457</v>
      </c>
      <c r="D15" s="673">
        <v>1.17</v>
      </c>
      <c r="E15" s="673">
        <v>2.95</v>
      </c>
    </row>
    <row r="16" spans="1:6" s="658" customFormat="1" ht="16.5" customHeight="1" x14ac:dyDescent="0.3">
      <c r="A16" s="671">
        <v>6</v>
      </c>
      <c r="B16" s="672">
        <v>1703083</v>
      </c>
      <c r="C16" s="675">
        <v>7506</v>
      </c>
      <c r="D16" s="676">
        <v>1.17</v>
      </c>
      <c r="E16" s="676">
        <v>2.95</v>
      </c>
    </row>
    <row r="17" spans="1:7" s="658" customFormat="1" ht="16.5" customHeight="1" x14ac:dyDescent="0.3">
      <c r="A17" s="677" t="s">
        <v>17</v>
      </c>
      <c r="B17" s="678">
        <f>AVERAGE(B11:B16)</f>
        <v>1695855.3333333333</v>
      </c>
      <c r="C17" s="679">
        <f>AVERAGE(C11:C16)</f>
        <v>7519.166666666667</v>
      </c>
      <c r="D17" s="680">
        <f>AVERAGE(D11:D16)</f>
        <v>1.175</v>
      </c>
      <c r="E17" s="680">
        <f>AVERAGE(E11:E16)</f>
        <v>2.9499999999999997</v>
      </c>
    </row>
    <row r="18" spans="1:7" s="658" customFormat="1" ht="16.5" customHeight="1" x14ac:dyDescent="0.3">
      <c r="A18" s="681" t="s">
        <v>18</v>
      </c>
      <c r="B18" s="682">
        <f>(STDEV(B11:B16)/B17)</f>
        <v>3.0367843741427574E-3</v>
      </c>
      <c r="C18" s="683"/>
      <c r="D18" s="683"/>
      <c r="E18" s="684"/>
    </row>
    <row r="19" spans="1:7" s="658" customFormat="1" ht="16.5" customHeight="1" x14ac:dyDescent="0.3">
      <c r="A19" s="685" t="s">
        <v>19</v>
      </c>
      <c r="B19" s="686">
        <f>COUNT(B11:B16)</f>
        <v>6</v>
      </c>
      <c r="C19" s="687"/>
      <c r="D19" s="688"/>
      <c r="E19" s="689"/>
    </row>
    <row r="20" spans="1:7" s="658" customFormat="1" ht="15.75" customHeight="1" x14ac:dyDescent="0.25">
      <c r="A20" s="665"/>
      <c r="B20" s="665"/>
      <c r="C20" s="665"/>
      <c r="D20" s="665"/>
      <c r="E20" s="665"/>
    </row>
    <row r="21" spans="1:7" s="658" customFormat="1" ht="16.5" customHeight="1" x14ac:dyDescent="0.3">
      <c r="A21" s="666" t="s">
        <v>20</v>
      </c>
      <c r="B21" s="690" t="s">
        <v>137</v>
      </c>
      <c r="C21" s="691"/>
      <c r="D21" s="691"/>
      <c r="E21" s="691"/>
    </row>
    <row r="22" spans="1:7" s="658" customFormat="1" ht="16.5" customHeight="1" x14ac:dyDescent="0.3">
      <c r="A22" s="666"/>
      <c r="B22" s="690" t="s">
        <v>138</v>
      </c>
      <c r="C22" s="691"/>
      <c r="D22" s="691"/>
      <c r="E22" s="691"/>
    </row>
    <row r="23" spans="1:7" s="658" customFormat="1" ht="16.5" customHeight="1" x14ac:dyDescent="0.3">
      <c r="A23" s="666"/>
      <c r="B23" s="690" t="s">
        <v>139</v>
      </c>
      <c r="C23" s="691"/>
      <c r="D23" s="691"/>
      <c r="E23" s="691"/>
    </row>
    <row r="24" spans="1:7" s="658" customFormat="1" ht="15.75" customHeight="1" x14ac:dyDescent="0.25">
      <c r="A24" s="665"/>
      <c r="B24" s="665"/>
      <c r="C24" s="665"/>
      <c r="D24" s="665"/>
      <c r="E24" s="665"/>
    </row>
    <row r="25" spans="1:7" s="658" customFormat="1" ht="14.25" customHeight="1" thickBot="1" x14ac:dyDescent="0.3">
      <c r="A25" s="692"/>
      <c r="B25" s="693"/>
      <c r="D25" s="694"/>
      <c r="F25" s="695"/>
      <c r="G25" s="695"/>
    </row>
    <row r="26" spans="1:7" s="658" customFormat="1" ht="15" customHeight="1" x14ac:dyDescent="0.3">
      <c r="B26" s="696" t="s">
        <v>21</v>
      </c>
      <c r="C26" s="696"/>
      <c r="E26" s="697" t="s">
        <v>22</v>
      </c>
      <c r="F26" s="698"/>
      <c r="G26" s="697" t="s">
        <v>23</v>
      </c>
    </row>
    <row r="27" spans="1:7" s="658" customFormat="1" ht="15" customHeight="1" x14ac:dyDescent="0.3">
      <c r="A27" s="699" t="s">
        <v>24</v>
      </c>
      <c r="B27" s="700" t="s">
        <v>140</v>
      </c>
      <c r="C27" s="700"/>
      <c r="E27" s="701">
        <v>42723</v>
      </c>
      <c r="G27" s="700"/>
    </row>
    <row r="28" spans="1:7" s="658" customFormat="1" ht="15" customHeight="1" x14ac:dyDescent="0.3">
      <c r="A28" s="699" t="s">
        <v>25</v>
      </c>
      <c r="B28" s="702" t="s">
        <v>141</v>
      </c>
      <c r="C28" s="702"/>
      <c r="E28" s="703">
        <v>42817</v>
      </c>
      <c r="G28" s="704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topLeftCell="A13" zoomScale="60" zoomScaleNormal="100" workbookViewId="0">
      <selection activeCell="C29" sqref="C29"/>
    </sheetView>
  </sheetViews>
  <sheetFormatPr defaultRowHeight="13.5" x14ac:dyDescent="0.25"/>
  <cols>
    <col min="1" max="1" width="27.5703125" style="658" customWidth="1"/>
    <col min="2" max="2" width="20.42578125" style="658" customWidth="1"/>
    <col min="3" max="3" width="31.85546875" style="658" customWidth="1"/>
    <col min="4" max="4" width="25.85546875" style="658" customWidth="1"/>
    <col min="5" max="5" width="25.7109375" style="658" customWidth="1"/>
    <col min="6" max="6" width="23.140625" style="658" customWidth="1"/>
    <col min="7" max="7" width="28.42578125" style="658" customWidth="1"/>
    <col min="8" max="8" width="21.5703125" style="658" customWidth="1"/>
    <col min="9" max="9" width="9.140625" style="658" customWidth="1"/>
    <col min="10" max="16384" width="9.140625" style="695"/>
  </cols>
  <sheetData>
    <row r="1" spans="1:6" s="658" customFormat="1" ht="15" customHeight="1" x14ac:dyDescent="0.3">
      <c r="A1" s="657"/>
      <c r="C1" s="659"/>
      <c r="F1" s="659"/>
    </row>
    <row r="2" spans="1:6" s="658" customFormat="1" ht="18.75" customHeight="1" x14ac:dyDescent="0.3">
      <c r="A2" s="660" t="s">
        <v>0</v>
      </c>
      <c r="B2" s="660"/>
      <c r="C2" s="660"/>
      <c r="D2" s="660"/>
      <c r="E2" s="660"/>
    </row>
    <row r="3" spans="1:6" s="658" customFormat="1" ht="16.5" customHeight="1" x14ac:dyDescent="0.3">
      <c r="A3" s="661" t="s">
        <v>1</v>
      </c>
      <c r="B3" s="662" t="s">
        <v>134</v>
      </c>
    </row>
    <row r="4" spans="1:6" s="658" customFormat="1" ht="16.5" customHeight="1" x14ac:dyDescent="0.3">
      <c r="A4" s="663" t="s">
        <v>2</v>
      </c>
      <c r="B4" s="663" t="s">
        <v>135</v>
      </c>
      <c r="D4" s="664"/>
      <c r="E4" s="665"/>
    </row>
    <row r="5" spans="1:6" s="658" customFormat="1" ht="16.5" customHeight="1" x14ac:dyDescent="0.3">
      <c r="A5" s="666" t="s">
        <v>3</v>
      </c>
      <c r="B5" s="666" t="s">
        <v>128</v>
      </c>
      <c r="C5" s="665"/>
      <c r="D5" s="665"/>
      <c r="E5" s="665"/>
    </row>
    <row r="6" spans="1:6" s="658" customFormat="1" ht="16.5" customHeight="1" x14ac:dyDescent="0.3">
      <c r="A6" s="666" t="s">
        <v>5</v>
      </c>
      <c r="B6" s="667">
        <v>99</v>
      </c>
      <c r="C6" s="665"/>
      <c r="D6" s="665"/>
      <c r="E6" s="665"/>
    </row>
    <row r="7" spans="1:6" s="658" customFormat="1" ht="16.5" customHeight="1" x14ac:dyDescent="0.3">
      <c r="A7" s="663" t="s">
        <v>7</v>
      </c>
      <c r="B7" s="667">
        <v>14.85</v>
      </c>
      <c r="C7" s="665"/>
      <c r="D7" s="665"/>
      <c r="E7" s="665"/>
    </row>
    <row r="8" spans="1:6" s="658" customFormat="1" ht="16.5" customHeight="1" x14ac:dyDescent="0.3">
      <c r="A8" s="663" t="s">
        <v>9</v>
      </c>
      <c r="B8" s="668">
        <f>B7/10*4/25</f>
        <v>0.23759999999999998</v>
      </c>
      <c r="C8" s="665"/>
      <c r="D8" s="665"/>
      <c r="E8" s="665"/>
    </row>
    <row r="9" spans="1:6" s="658" customFormat="1" ht="15.75" customHeight="1" x14ac:dyDescent="0.25">
      <c r="A9" s="665"/>
      <c r="B9" s="665"/>
      <c r="C9" s="665"/>
      <c r="D9" s="665"/>
      <c r="E9" s="665"/>
    </row>
    <row r="10" spans="1:6" s="658" customFormat="1" ht="16.5" customHeight="1" x14ac:dyDescent="0.3">
      <c r="A10" s="669" t="s">
        <v>12</v>
      </c>
      <c r="B10" s="670" t="s">
        <v>13</v>
      </c>
      <c r="C10" s="669" t="s">
        <v>14</v>
      </c>
      <c r="D10" s="669" t="s">
        <v>15</v>
      </c>
      <c r="E10" s="669" t="s">
        <v>16</v>
      </c>
    </row>
    <row r="11" spans="1:6" s="658" customFormat="1" ht="16.5" customHeight="1" x14ac:dyDescent="0.3">
      <c r="A11" s="671">
        <v>1</v>
      </c>
      <c r="B11" s="672">
        <v>2362231</v>
      </c>
      <c r="C11" s="672">
        <v>8066</v>
      </c>
      <c r="D11" s="673">
        <v>1.1299999999999999</v>
      </c>
      <c r="E11" s="674">
        <v>4.2300000000000004</v>
      </c>
    </row>
    <row r="12" spans="1:6" s="658" customFormat="1" ht="16.5" customHeight="1" x14ac:dyDescent="0.3">
      <c r="A12" s="671">
        <v>2</v>
      </c>
      <c r="B12" s="672">
        <v>2362827</v>
      </c>
      <c r="C12" s="672">
        <v>8032</v>
      </c>
      <c r="D12" s="673">
        <v>1.1299999999999999</v>
      </c>
      <c r="E12" s="673">
        <v>4.2300000000000004</v>
      </c>
    </row>
    <row r="13" spans="1:6" s="658" customFormat="1" ht="16.5" customHeight="1" x14ac:dyDescent="0.3">
      <c r="A13" s="671">
        <v>3</v>
      </c>
      <c r="B13" s="672">
        <v>2355768</v>
      </c>
      <c r="C13" s="672">
        <v>8096</v>
      </c>
      <c r="D13" s="673">
        <v>1.1299999999999999</v>
      </c>
      <c r="E13" s="673">
        <v>4.2300000000000004</v>
      </c>
    </row>
    <row r="14" spans="1:6" s="658" customFormat="1" ht="16.5" customHeight="1" x14ac:dyDescent="0.3">
      <c r="A14" s="671">
        <v>4</v>
      </c>
      <c r="B14" s="672">
        <v>2353370</v>
      </c>
      <c r="C14" s="672">
        <v>8124</v>
      </c>
      <c r="D14" s="673">
        <v>1.1200000000000001</v>
      </c>
      <c r="E14" s="673">
        <v>4.2300000000000004</v>
      </c>
    </row>
    <row r="15" spans="1:6" s="658" customFormat="1" ht="16.5" customHeight="1" x14ac:dyDescent="0.3">
      <c r="A15" s="671">
        <v>5</v>
      </c>
      <c r="B15" s="672">
        <v>2355817</v>
      </c>
      <c r="C15" s="672">
        <v>8112</v>
      </c>
      <c r="D15" s="673">
        <v>1.1200000000000001</v>
      </c>
      <c r="E15" s="673">
        <v>4.2300000000000004</v>
      </c>
    </row>
    <row r="16" spans="1:6" s="658" customFormat="1" ht="16.5" customHeight="1" x14ac:dyDescent="0.3">
      <c r="A16" s="671">
        <v>6</v>
      </c>
      <c r="B16" s="672">
        <v>2359169</v>
      </c>
      <c r="C16" s="675">
        <v>8144</v>
      </c>
      <c r="D16" s="676">
        <v>1.1200000000000001</v>
      </c>
      <c r="E16" s="676">
        <v>4.24</v>
      </c>
    </row>
    <row r="17" spans="1:7" s="658" customFormat="1" ht="16.5" customHeight="1" x14ac:dyDescent="0.3">
      <c r="A17" s="677" t="s">
        <v>17</v>
      </c>
      <c r="B17" s="678">
        <f>AVERAGE(B11:B16)</f>
        <v>2358197</v>
      </c>
      <c r="C17" s="679">
        <f>AVERAGE(C11:C16)</f>
        <v>8095.666666666667</v>
      </c>
      <c r="D17" s="680">
        <f>AVERAGE(D11:D16)</f>
        <v>1.125</v>
      </c>
      <c r="E17" s="680">
        <f>AVERAGE(E11:E16)</f>
        <v>4.2316666666666665</v>
      </c>
    </row>
    <row r="18" spans="1:7" s="658" customFormat="1" ht="16.5" customHeight="1" x14ac:dyDescent="0.3">
      <c r="A18" s="681" t="s">
        <v>18</v>
      </c>
      <c r="B18" s="682">
        <f>(STDEV(B11:B16)/B17)</f>
        <v>1.6260553743104084E-3</v>
      </c>
      <c r="C18" s="683"/>
      <c r="D18" s="683"/>
      <c r="E18" s="684"/>
    </row>
    <row r="19" spans="1:7" s="658" customFormat="1" ht="16.5" customHeight="1" x14ac:dyDescent="0.3">
      <c r="A19" s="685" t="s">
        <v>19</v>
      </c>
      <c r="B19" s="686">
        <f>COUNT(B11:B16)</f>
        <v>6</v>
      </c>
      <c r="C19" s="687"/>
      <c r="D19" s="688"/>
      <c r="E19" s="689"/>
    </row>
    <row r="20" spans="1:7" s="658" customFormat="1" ht="15.75" customHeight="1" x14ac:dyDescent="0.25">
      <c r="A20" s="665"/>
      <c r="B20" s="665"/>
      <c r="C20" s="665"/>
      <c r="D20" s="665"/>
      <c r="E20" s="665"/>
    </row>
    <row r="21" spans="1:7" s="658" customFormat="1" ht="16.5" customHeight="1" x14ac:dyDescent="0.3">
      <c r="A21" s="666" t="s">
        <v>20</v>
      </c>
      <c r="B21" s="690" t="s">
        <v>137</v>
      </c>
      <c r="C21" s="691"/>
      <c r="D21" s="691"/>
      <c r="E21" s="691"/>
    </row>
    <row r="22" spans="1:7" s="658" customFormat="1" ht="16.5" customHeight="1" x14ac:dyDescent="0.3">
      <c r="A22" s="666"/>
      <c r="B22" s="690" t="s">
        <v>138</v>
      </c>
      <c r="C22" s="691"/>
      <c r="D22" s="691"/>
      <c r="E22" s="691"/>
    </row>
    <row r="23" spans="1:7" s="658" customFormat="1" ht="16.5" customHeight="1" x14ac:dyDescent="0.3">
      <c r="A23" s="666"/>
      <c r="B23" s="690" t="s">
        <v>139</v>
      </c>
      <c r="C23" s="691"/>
      <c r="D23" s="691"/>
      <c r="E23" s="691"/>
    </row>
    <row r="24" spans="1:7" s="658" customFormat="1" ht="15.75" customHeight="1" x14ac:dyDescent="0.25">
      <c r="A24" s="665"/>
      <c r="B24" s="665"/>
      <c r="C24" s="665"/>
      <c r="D24" s="665"/>
      <c r="E24" s="665"/>
    </row>
    <row r="25" spans="1:7" s="658" customFormat="1" ht="14.25" customHeight="1" thickBot="1" x14ac:dyDescent="0.3">
      <c r="A25" s="692"/>
      <c r="B25" s="693"/>
      <c r="D25" s="694"/>
      <c r="F25" s="695"/>
      <c r="G25" s="695"/>
    </row>
    <row r="26" spans="1:7" s="658" customFormat="1" ht="15" customHeight="1" x14ac:dyDescent="0.3">
      <c r="B26" s="696" t="s">
        <v>21</v>
      </c>
      <c r="C26" s="696"/>
      <c r="E26" s="697" t="s">
        <v>22</v>
      </c>
      <c r="F26" s="698"/>
      <c r="G26" s="697" t="s">
        <v>23</v>
      </c>
    </row>
    <row r="27" spans="1:7" s="658" customFormat="1" ht="15" customHeight="1" x14ac:dyDescent="0.3">
      <c r="A27" s="699" t="s">
        <v>24</v>
      </c>
      <c r="B27" s="700" t="s">
        <v>140</v>
      </c>
      <c r="C27" s="700"/>
      <c r="E27" s="701">
        <v>42723</v>
      </c>
      <c r="G27" s="700"/>
    </row>
    <row r="28" spans="1:7" s="658" customFormat="1" ht="15" customHeight="1" x14ac:dyDescent="0.3">
      <c r="A28" s="699" t="s">
        <v>25</v>
      </c>
      <c r="B28" s="702" t="s">
        <v>141</v>
      </c>
      <c r="C28" s="702"/>
      <c r="E28" s="703">
        <v>42817</v>
      </c>
      <c r="G28" s="704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view="pageBreakPreview" topLeftCell="A10" zoomScale="60" zoomScaleNormal="100" workbookViewId="0">
      <selection activeCell="C29" sqref="C29"/>
    </sheetView>
  </sheetViews>
  <sheetFormatPr defaultRowHeight="13.5" x14ac:dyDescent="0.25"/>
  <cols>
    <col min="1" max="1" width="27.5703125" style="658" customWidth="1"/>
    <col min="2" max="2" width="20.42578125" style="658" customWidth="1"/>
    <col min="3" max="3" width="31.85546875" style="658" customWidth="1"/>
    <col min="4" max="4" width="25.85546875" style="658" customWidth="1"/>
    <col min="5" max="5" width="25.7109375" style="658" customWidth="1"/>
    <col min="6" max="6" width="23.140625" style="658" customWidth="1"/>
    <col min="7" max="7" width="28.42578125" style="658" customWidth="1"/>
    <col min="8" max="8" width="21.5703125" style="658" customWidth="1"/>
    <col min="9" max="9" width="9.140625" style="658" customWidth="1"/>
    <col min="10" max="16384" width="9.140625" style="695"/>
  </cols>
  <sheetData>
    <row r="1" spans="1:6" s="658" customFormat="1" ht="15" customHeight="1" x14ac:dyDescent="0.3">
      <c r="A1" s="657"/>
      <c r="C1" s="659"/>
      <c r="F1" s="659"/>
    </row>
    <row r="2" spans="1:6" s="658" customFormat="1" ht="18.75" customHeight="1" x14ac:dyDescent="0.3">
      <c r="A2" s="660" t="s">
        <v>0</v>
      </c>
      <c r="B2" s="660"/>
      <c r="C2" s="660"/>
      <c r="D2" s="660"/>
      <c r="E2" s="660"/>
    </row>
    <row r="3" spans="1:6" s="658" customFormat="1" ht="16.5" customHeight="1" x14ac:dyDescent="0.3">
      <c r="A3" s="661" t="s">
        <v>1</v>
      </c>
      <c r="B3" s="662" t="s">
        <v>134</v>
      </c>
    </row>
    <row r="4" spans="1:6" s="658" customFormat="1" ht="16.5" customHeight="1" x14ac:dyDescent="0.3">
      <c r="A4" s="663" t="s">
        <v>2</v>
      </c>
      <c r="B4" s="663" t="s">
        <v>135</v>
      </c>
      <c r="D4" s="664"/>
      <c r="E4" s="665"/>
    </row>
    <row r="5" spans="1:6" s="658" customFormat="1" ht="16.5" customHeight="1" x14ac:dyDescent="0.3">
      <c r="A5" s="666" t="s">
        <v>3</v>
      </c>
      <c r="B5" s="666" t="s">
        <v>127</v>
      </c>
      <c r="C5" s="665"/>
      <c r="D5" s="665"/>
      <c r="E5" s="665"/>
    </row>
    <row r="6" spans="1:6" s="658" customFormat="1" ht="16.5" customHeight="1" x14ac:dyDescent="0.3">
      <c r="A6" s="666" t="s">
        <v>5</v>
      </c>
      <c r="B6" s="667">
        <v>98.8</v>
      </c>
      <c r="C6" s="665"/>
      <c r="D6" s="665"/>
      <c r="E6" s="665"/>
    </row>
    <row r="7" spans="1:6" s="658" customFormat="1" ht="16.5" customHeight="1" x14ac:dyDescent="0.3">
      <c r="A7" s="663" t="s">
        <v>7</v>
      </c>
      <c r="B7" s="667">
        <v>9.58</v>
      </c>
      <c r="C7" s="665"/>
      <c r="D7" s="665"/>
      <c r="E7" s="665"/>
    </row>
    <row r="8" spans="1:6" s="658" customFormat="1" ht="16.5" customHeight="1" x14ac:dyDescent="0.3">
      <c r="A8" s="663" t="s">
        <v>9</v>
      </c>
      <c r="B8" s="668">
        <f>B7/10*4/25</f>
        <v>0.15328</v>
      </c>
      <c r="C8" s="665"/>
      <c r="D8" s="665"/>
      <c r="E8" s="665"/>
    </row>
    <row r="9" spans="1:6" s="658" customFormat="1" ht="15.75" customHeight="1" x14ac:dyDescent="0.25">
      <c r="A9" s="665"/>
      <c r="B9" s="665"/>
      <c r="C9" s="665"/>
      <c r="D9" s="665"/>
      <c r="E9" s="665"/>
    </row>
    <row r="10" spans="1:6" s="658" customFormat="1" ht="16.5" customHeight="1" x14ac:dyDescent="0.3">
      <c r="A10" s="669" t="s">
        <v>12</v>
      </c>
      <c r="B10" s="670" t="s">
        <v>13</v>
      </c>
      <c r="C10" s="669" t="s">
        <v>14</v>
      </c>
      <c r="D10" s="669" t="s">
        <v>15</v>
      </c>
      <c r="E10" s="669" t="s">
        <v>16</v>
      </c>
    </row>
    <row r="11" spans="1:6" s="658" customFormat="1" ht="16.5" customHeight="1" x14ac:dyDescent="0.3">
      <c r="A11" s="671">
        <v>1</v>
      </c>
      <c r="B11" s="672">
        <v>1120277</v>
      </c>
      <c r="C11" s="672">
        <v>8039</v>
      </c>
      <c r="D11" s="673">
        <v>1.08</v>
      </c>
      <c r="E11" s="674">
        <v>7.68</v>
      </c>
    </row>
    <row r="12" spans="1:6" s="658" customFormat="1" ht="16.5" customHeight="1" x14ac:dyDescent="0.3">
      <c r="A12" s="671">
        <v>2</v>
      </c>
      <c r="B12" s="672">
        <v>1116626</v>
      </c>
      <c r="C12" s="672">
        <v>8144</v>
      </c>
      <c r="D12" s="673">
        <v>1.08</v>
      </c>
      <c r="E12" s="673">
        <v>7.68</v>
      </c>
    </row>
    <row r="13" spans="1:6" s="658" customFormat="1" ht="16.5" customHeight="1" x14ac:dyDescent="0.3">
      <c r="A13" s="671">
        <v>3</v>
      </c>
      <c r="B13" s="672">
        <v>1118355</v>
      </c>
      <c r="C13" s="672">
        <v>8047</v>
      </c>
      <c r="D13" s="673">
        <v>1.08</v>
      </c>
      <c r="E13" s="673">
        <v>7.68</v>
      </c>
    </row>
    <row r="14" spans="1:6" s="658" customFormat="1" ht="16.5" customHeight="1" x14ac:dyDescent="0.3">
      <c r="A14" s="671">
        <v>4</v>
      </c>
      <c r="B14" s="672">
        <v>1116863</v>
      </c>
      <c r="C14" s="672">
        <v>8094</v>
      </c>
      <c r="D14" s="673">
        <v>1.08</v>
      </c>
      <c r="E14" s="673">
        <v>7.68</v>
      </c>
    </row>
    <row r="15" spans="1:6" s="658" customFormat="1" ht="16.5" customHeight="1" x14ac:dyDescent="0.3">
      <c r="A15" s="671">
        <v>5</v>
      </c>
      <c r="B15" s="672">
        <v>1118089</v>
      </c>
      <c r="C15" s="672">
        <v>8078</v>
      </c>
      <c r="D15" s="673">
        <v>1.08</v>
      </c>
      <c r="E15" s="673">
        <v>7.68</v>
      </c>
    </row>
    <row r="16" spans="1:6" s="658" customFormat="1" ht="16.5" customHeight="1" x14ac:dyDescent="0.3">
      <c r="A16" s="671">
        <v>6</v>
      </c>
      <c r="B16" s="672">
        <v>1123608</v>
      </c>
      <c r="C16" s="675">
        <v>8024</v>
      </c>
      <c r="D16" s="676">
        <v>1.08</v>
      </c>
      <c r="E16" s="676">
        <v>7.68</v>
      </c>
    </row>
    <row r="17" spans="1:7" s="658" customFormat="1" ht="16.5" customHeight="1" x14ac:dyDescent="0.3">
      <c r="A17" s="677" t="s">
        <v>17</v>
      </c>
      <c r="B17" s="678">
        <f>AVERAGE(B11:B16)</f>
        <v>1118969.6666666667</v>
      </c>
      <c r="C17" s="679">
        <f>AVERAGE(C11:C16)</f>
        <v>8071</v>
      </c>
      <c r="D17" s="680">
        <f>AVERAGE(D11:D16)</f>
        <v>1.08</v>
      </c>
      <c r="E17" s="680">
        <f>AVERAGE(E11:E16)</f>
        <v>7.68</v>
      </c>
    </row>
    <row r="18" spans="1:7" s="658" customFormat="1" ht="16.5" customHeight="1" x14ac:dyDescent="0.3">
      <c r="A18" s="681" t="s">
        <v>18</v>
      </c>
      <c r="B18" s="682">
        <f>(STDEV(B11:B16)/B17)</f>
        <v>2.340943802736617E-3</v>
      </c>
      <c r="C18" s="683"/>
      <c r="D18" s="683"/>
      <c r="E18" s="684"/>
    </row>
    <row r="19" spans="1:7" s="658" customFormat="1" ht="16.5" customHeight="1" x14ac:dyDescent="0.3">
      <c r="A19" s="685" t="s">
        <v>19</v>
      </c>
      <c r="B19" s="686">
        <f>COUNT(B11:B16)</f>
        <v>6</v>
      </c>
      <c r="C19" s="687"/>
      <c r="D19" s="688"/>
      <c r="E19" s="689"/>
    </row>
    <row r="20" spans="1:7" s="658" customFormat="1" ht="15.75" customHeight="1" x14ac:dyDescent="0.25">
      <c r="A20" s="665"/>
      <c r="B20" s="665"/>
      <c r="C20" s="665"/>
      <c r="D20" s="665"/>
      <c r="E20" s="665"/>
    </row>
    <row r="21" spans="1:7" s="658" customFormat="1" ht="16.5" customHeight="1" x14ac:dyDescent="0.3">
      <c r="A21" s="666" t="s">
        <v>20</v>
      </c>
      <c r="B21" s="690" t="s">
        <v>137</v>
      </c>
      <c r="C21" s="691"/>
      <c r="D21" s="691"/>
      <c r="E21" s="691"/>
    </row>
    <row r="22" spans="1:7" s="658" customFormat="1" ht="16.5" customHeight="1" x14ac:dyDescent="0.3">
      <c r="A22" s="666"/>
      <c r="B22" s="690" t="s">
        <v>138</v>
      </c>
      <c r="C22" s="691"/>
      <c r="D22" s="691"/>
      <c r="E22" s="691"/>
    </row>
    <row r="23" spans="1:7" s="658" customFormat="1" ht="16.5" customHeight="1" x14ac:dyDescent="0.3">
      <c r="A23" s="666"/>
      <c r="B23" s="690" t="s">
        <v>139</v>
      </c>
      <c r="C23" s="691"/>
      <c r="D23" s="691"/>
      <c r="E23" s="691"/>
    </row>
    <row r="24" spans="1:7" s="658" customFormat="1" ht="15.75" customHeight="1" x14ac:dyDescent="0.25">
      <c r="A24" s="665"/>
      <c r="B24" s="665"/>
      <c r="C24" s="665"/>
      <c r="D24" s="665"/>
      <c r="E24" s="665"/>
    </row>
    <row r="25" spans="1:7" s="658" customFormat="1" ht="14.25" customHeight="1" thickBot="1" x14ac:dyDescent="0.3">
      <c r="A25" s="692"/>
      <c r="B25" s="693"/>
      <c r="D25" s="694"/>
      <c r="F25" s="695"/>
      <c r="G25" s="695"/>
    </row>
    <row r="26" spans="1:7" s="658" customFormat="1" ht="15" customHeight="1" x14ac:dyDescent="0.3">
      <c r="B26" s="696" t="s">
        <v>21</v>
      </c>
      <c r="C26" s="696"/>
      <c r="E26" s="697" t="s">
        <v>22</v>
      </c>
      <c r="F26" s="698"/>
      <c r="G26" s="697" t="s">
        <v>23</v>
      </c>
    </row>
    <row r="27" spans="1:7" s="658" customFormat="1" ht="15" customHeight="1" x14ac:dyDescent="0.3">
      <c r="A27" s="699" t="s">
        <v>24</v>
      </c>
      <c r="B27" s="700" t="s">
        <v>140</v>
      </c>
      <c r="C27" s="700"/>
      <c r="E27" s="701">
        <v>42723</v>
      </c>
      <c r="G27" s="700"/>
    </row>
    <row r="28" spans="1:7" s="658" customFormat="1" ht="15" customHeight="1" x14ac:dyDescent="0.3">
      <c r="A28" s="699" t="s">
        <v>25</v>
      </c>
      <c r="B28" s="702" t="s">
        <v>141</v>
      </c>
      <c r="C28" s="702"/>
      <c r="E28" s="703">
        <v>42817</v>
      </c>
      <c r="G28" s="704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60" zoomScaleNormal="40" zoomScalePageLayoutView="55" workbookViewId="0">
      <selection activeCell="D112" sqref="D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6" t="s">
        <v>40</v>
      </c>
      <c r="B1" s="646"/>
      <c r="C1" s="646"/>
      <c r="D1" s="646"/>
      <c r="E1" s="646"/>
      <c r="F1" s="646"/>
      <c r="G1" s="646"/>
      <c r="H1" s="646"/>
      <c r="I1" s="646"/>
    </row>
    <row r="2" spans="1:9" ht="18.75" customHeight="1" x14ac:dyDescent="0.25">
      <c r="A2" s="646"/>
      <c r="B2" s="646"/>
      <c r="C2" s="646"/>
      <c r="D2" s="646"/>
      <c r="E2" s="646"/>
      <c r="F2" s="646"/>
      <c r="G2" s="646"/>
      <c r="H2" s="646"/>
      <c r="I2" s="646"/>
    </row>
    <row r="3" spans="1:9" ht="18.75" customHeight="1" x14ac:dyDescent="0.25">
      <c r="A3" s="646"/>
      <c r="B3" s="646"/>
      <c r="C3" s="646"/>
      <c r="D3" s="646"/>
      <c r="E3" s="646"/>
      <c r="F3" s="646"/>
      <c r="G3" s="646"/>
      <c r="H3" s="646"/>
      <c r="I3" s="646"/>
    </row>
    <row r="4" spans="1:9" ht="18.75" customHeight="1" x14ac:dyDescent="0.25">
      <c r="A4" s="646"/>
      <c r="B4" s="646"/>
      <c r="C4" s="646"/>
      <c r="D4" s="646"/>
      <c r="E4" s="646"/>
      <c r="F4" s="646"/>
      <c r="G4" s="646"/>
      <c r="H4" s="646"/>
      <c r="I4" s="646"/>
    </row>
    <row r="5" spans="1:9" ht="18.75" customHeight="1" x14ac:dyDescent="0.25">
      <c r="A5" s="646"/>
      <c r="B5" s="646"/>
      <c r="C5" s="646"/>
      <c r="D5" s="646"/>
      <c r="E5" s="646"/>
      <c r="F5" s="646"/>
      <c r="G5" s="646"/>
      <c r="H5" s="646"/>
      <c r="I5" s="646"/>
    </row>
    <row r="6" spans="1:9" ht="18.75" customHeight="1" x14ac:dyDescent="0.25">
      <c r="A6" s="646"/>
      <c r="B6" s="646"/>
      <c r="C6" s="646"/>
      <c r="D6" s="646"/>
      <c r="E6" s="646"/>
      <c r="F6" s="646"/>
      <c r="G6" s="646"/>
      <c r="H6" s="646"/>
      <c r="I6" s="646"/>
    </row>
    <row r="7" spans="1:9" ht="18.75" customHeight="1" x14ac:dyDescent="0.25">
      <c r="A7" s="646"/>
      <c r="B7" s="646"/>
      <c r="C7" s="646"/>
      <c r="D7" s="646"/>
      <c r="E7" s="646"/>
      <c r="F7" s="646"/>
      <c r="G7" s="646"/>
      <c r="H7" s="646"/>
      <c r="I7" s="646"/>
    </row>
    <row r="8" spans="1:9" x14ac:dyDescent="0.25">
      <c r="A8" s="647" t="s">
        <v>41</v>
      </c>
      <c r="B8" s="647"/>
      <c r="C8" s="647"/>
      <c r="D8" s="647"/>
      <c r="E8" s="647"/>
      <c r="F8" s="647"/>
      <c r="G8" s="647"/>
      <c r="H8" s="647"/>
      <c r="I8" s="647"/>
    </row>
    <row r="9" spans="1:9" x14ac:dyDescent="0.25">
      <c r="A9" s="647"/>
      <c r="B9" s="647"/>
      <c r="C9" s="647"/>
      <c r="D9" s="647"/>
      <c r="E9" s="647"/>
      <c r="F9" s="647"/>
      <c r="G9" s="647"/>
      <c r="H9" s="647"/>
      <c r="I9" s="647"/>
    </row>
    <row r="10" spans="1:9" x14ac:dyDescent="0.25">
      <c r="A10" s="647"/>
      <c r="B10" s="647"/>
      <c r="C10" s="647"/>
      <c r="D10" s="647"/>
      <c r="E10" s="647"/>
      <c r="F10" s="647"/>
      <c r="G10" s="647"/>
      <c r="H10" s="647"/>
      <c r="I10" s="647"/>
    </row>
    <row r="11" spans="1:9" x14ac:dyDescent="0.25">
      <c r="A11" s="647"/>
      <c r="B11" s="647"/>
      <c r="C11" s="647"/>
      <c r="D11" s="647"/>
      <c r="E11" s="647"/>
      <c r="F11" s="647"/>
      <c r="G11" s="647"/>
      <c r="H11" s="647"/>
      <c r="I11" s="647"/>
    </row>
    <row r="12" spans="1:9" x14ac:dyDescent="0.25">
      <c r="A12" s="647"/>
      <c r="B12" s="647"/>
      <c r="C12" s="647"/>
      <c r="D12" s="647"/>
      <c r="E12" s="647"/>
      <c r="F12" s="647"/>
      <c r="G12" s="647"/>
      <c r="H12" s="647"/>
      <c r="I12" s="647"/>
    </row>
    <row r="13" spans="1:9" x14ac:dyDescent="0.25">
      <c r="A13" s="647"/>
      <c r="B13" s="647"/>
      <c r="C13" s="647"/>
      <c r="D13" s="647"/>
      <c r="E13" s="647"/>
      <c r="F13" s="647"/>
      <c r="G13" s="647"/>
      <c r="H13" s="647"/>
      <c r="I13" s="647"/>
    </row>
    <row r="14" spans="1:9" x14ac:dyDescent="0.25">
      <c r="A14" s="647"/>
      <c r="B14" s="647"/>
      <c r="C14" s="647"/>
      <c r="D14" s="647"/>
      <c r="E14" s="647"/>
      <c r="F14" s="647"/>
      <c r="G14" s="647"/>
      <c r="H14" s="647"/>
      <c r="I14" s="647"/>
    </row>
    <row r="15" spans="1:9" ht="19.5" customHeight="1" x14ac:dyDescent="0.3">
      <c r="A15" s="50"/>
    </row>
    <row r="16" spans="1:9" ht="19.5" customHeight="1" x14ac:dyDescent="0.3">
      <c r="A16" s="619" t="s">
        <v>26</v>
      </c>
      <c r="B16" s="620"/>
      <c r="C16" s="620"/>
      <c r="D16" s="620"/>
      <c r="E16" s="620"/>
      <c r="F16" s="620"/>
      <c r="G16" s="620"/>
      <c r="H16" s="621"/>
    </row>
    <row r="17" spans="1:14" ht="20.25" customHeight="1" x14ac:dyDescent="0.25">
      <c r="A17" s="622" t="s">
        <v>42</v>
      </c>
      <c r="B17" s="622"/>
      <c r="C17" s="622"/>
      <c r="D17" s="622"/>
      <c r="E17" s="622"/>
      <c r="F17" s="622"/>
      <c r="G17" s="622"/>
      <c r="H17" s="622"/>
    </row>
    <row r="18" spans="1:14" ht="26.25" customHeight="1" x14ac:dyDescent="0.4">
      <c r="A18" s="52" t="s">
        <v>28</v>
      </c>
      <c r="B18" s="618" t="s">
        <v>4</v>
      </c>
      <c r="C18" s="618"/>
      <c r="D18" s="197"/>
      <c r="E18" s="53"/>
      <c r="F18" s="54"/>
      <c r="G18" s="54"/>
      <c r="H18" s="54"/>
    </row>
    <row r="19" spans="1:14" ht="26.25" customHeight="1" x14ac:dyDescent="0.4">
      <c r="A19" s="52" t="s">
        <v>29</v>
      </c>
      <c r="B19" s="55" t="s">
        <v>6</v>
      </c>
      <c r="C19" s="206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30</v>
      </c>
      <c r="B20" s="623" t="s">
        <v>132</v>
      </c>
      <c r="C20" s="623"/>
      <c r="D20" s="54"/>
      <c r="E20" s="54"/>
      <c r="F20" s="54"/>
      <c r="G20" s="54"/>
      <c r="H20" s="54"/>
    </row>
    <row r="21" spans="1:14" ht="26.25" customHeight="1" x14ac:dyDescent="0.4">
      <c r="A21" s="52" t="s">
        <v>31</v>
      </c>
      <c r="B21" s="623" t="s">
        <v>133</v>
      </c>
      <c r="C21" s="623"/>
      <c r="D21" s="623"/>
      <c r="E21" s="623"/>
      <c r="F21" s="623"/>
      <c r="G21" s="623"/>
      <c r="H21" s="623"/>
      <c r="I21" s="56"/>
    </row>
    <row r="22" spans="1:14" ht="26.25" customHeight="1" x14ac:dyDescent="0.4">
      <c r="A22" s="52" t="s">
        <v>32</v>
      </c>
      <c r="B22" s="57">
        <v>42719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33</v>
      </c>
      <c r="B23" s="57">
        <v>42723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3</v>
      </c>
      <c r="B26" s="618" t="s">
        <v>126</v>
      </c>
      <c r="C26" s="618"/>
    </row>
    <row r="27" spans="1:14" ht="26.25" customHeight="1" x14ac:dyDescent="0.4">
      <c r="A27" s="61" t="s">
        <v>43</v>
      </c>
      <c r="B27" s="624" t="s">
        <v>131</v>
      </c>
      <c r="C27" s="624"/>
    </row>
    <row r="28" spans="1:14" ht="27" customHeight="1" x14ac:dyDescent="0.4">
      <c r="A28" s="61" t="s">
        <v>5</v>
      </c>
      <c r="B28" s="62">
        <v>99.8</v>
      </c>
    </row>
    <row r="29" spans="1:14" s="3" customFormat="1" ht="27" customHeight="1" x14ac:dyDescent="0.4">
      <c r="A29" s="61" t="s">
        <v>44</v>
      </c>
      <c r="B29" s="63">
        <v>0</v>
      </c>
      <c r="C29" s="625" t="s">
        <v>45</v>
      </c>
      <c r="D29" s="626"/>
      <c r="E29" s="626"/>
      <c r="F29" s="626"/>
      <c r="G29" s="627"/>
      <c r="I29" s="64"/>
      <c r="J29" s="64"/>
      <c r="K29" s="64"/>
      <c r="L29" s="64"/>
    </row>
    <row r="30" spans="1:14" s="3" customFormat="1" ht="19.5" customHeight="1" x14ac:dyDescent="0.3">
      <c r="A30" s="61" t="s">
        <v>46</v>
      </c>
      <c r="B30" s="65">
        <f>B28-B29</f>
        <v>99.8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47</v>
      </c>
      <c r="B31" s="68">
        <v>1</v>
      </c>
      <c r="C31" s="628" t="s">
        <v>48</v>
      </c>
      <c r="D31" s="629"/>
      <c r="E31" s="629"/>
      <c r="F31" s="629"/>
      <c r="G31" s="629"/>
      <c r="H31" s="630"/>
      <c r="I31" s="64"/>
      <c r="J31" s="64"/>
      <c r="K31" s="64"/>
      <c r="L31" s="64"/>
    </row>
    <row r="32" spans="1:14" s="3" customFormat="1" ht="27" customHeight="1" x14ac:dyDescent="0.4">
      <c r="A32" s="61" t="s">
        <v>49</v>
      </c>
      <c r="B32" s="68">
        <v>1</v>
      </c>
      <c r="C32" s="628" t="s">
        <v>50</v>
      </c>
      <c r="D32" s="629"/>
      <c r="E32" s="629"/>
      <c r="F32" s="629"/>
      <c r="G32" s="629"/>
      <c r="H32" s="63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51</v>
      </c>
      <c r="B34" s="73">
        <f>B31/B32</f>
        <v>1</v>
      </c>
      <c r="C34" s="51" t="s">
        <v>52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53</v>
      </c>
      <c r="B36" s="75">
        <v>10</v>
      </c>
      <c r="C36" s="51"/>
      <c r="D36" s="631" t="s">
        <v>54</v>
      </c>
      <c r="E36" s="632"/>
      <c r="F36" s="631" t="s">
        <v>55</v>
      </c>
      <c r="G36" s="63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56</v>
      </c>
      <c r="B37" s="77">
        <v>4</v>
      </c>
      <c r="C37" s="78" t="s">
        <v>57</v>
      </c>
      <c r="D37" s="79" t="s">
        <v>58</v>
      </c>
      <c r="E37" s="80" t="s">
        <v>59</v>
      </c>
      <c r="F37" s="79" t="s">
        <v>58</v>
      </c>
      <c r="G37" s="81" t="s">
        <v>59</v>
      </c>
      <c r="I37" s="82" t="s">
        <v>60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61</v>
      </c>
      <c r="B38" s="77">
        <v>25</v>
      </c>
      <c r="C38" s="83">
        <v>1</v>
      </c>
      <c r="D38" s="84"/>
      <c r="E38" s="85" t="str">
        <f>IF(ISBLANK(D38),"-",$D$48/$D$45*D38)</f>
        <v>-</v>
      </c>
      <c r="F38" s="84">
        <v>1459220</v>
      </c>
      <c r="G38" s="86">
        <f>IF(ISBLANK(F38),"-",$D$48/$F$45*F38)</f>
        <v>1679853.2727219143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62</v>
      </c>
      <c r="B39" s="77">
        <v>1</v>
      </c>
      <c r="C39" s="88">
        <v>2</v>
      </c>
      <c r="D39" s="89">
        <v>1694101</v>
      </c>
      <c r="E39" s="90">
        <f>IF(ISBLANK(D39),"-",$D$48/$D$45*D39)</f>
        <v>1687595.4321155567</v>
      </c>
      <c r="F39" s="89">
        <v>1459220</v>
      </c>
      <c r="G39" s="91">
        <f>IF(ISBLANK(F39),"-",$D$48/$F$45*F39)</f>
        <v>1679853.2727219143</v>
      </c>
      <c r="I39" s="635">
        <f>ABS((F43/D43*D42)-F42)/D42</f>
        <v>3.9498234045509117E-3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63</v>
      </c>
      <c r="B40" s="77">
        <v>1</v>
      </c>
      <c r="C40" s="88">
        <v>3</v>
      </c>
      <c r="D40" s="89">
        <v>1692866</v>
      </c>
      <c r="E40" s="90">
        <f>IF(ISBLANK(D40),"-",$D$48/$D$45*D40)</f>
        <v>1686365.1746759692</v>
      </c>
      <c r="F40" s="89">
        <v>1457726</v>
      </c>
      <c r="G40" s="91">
        <f>IF(ISBLANK(F40),"-",$D$48/$F$45*F40)</f>
        <v>1678133.3807320523</v>
      </c>
      <c r="I40" s="635"/>
      <c r="L40" s="69"/>
      <c r="M40" s="69"/>
      <c r="N40" s="92"/>
    </row>
    <row r="41" spans="1:14" ht="27" customHeight="1" x14ac:dyDescent="0.4">
      <c r="A41" s="76" t="s">
        <v>64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65</v>
      </c>
      <c r="B42" s="77">
        <v>1</v>
      </c>
      <c r="C42" s="98" t="s">
        <v>66</v>
      </c>
      <c r="D42" s="99">
        <f>AVERAGE(D38:D41)</f>
        <v>1693483.5</v>
      </c>
      <c r="E42" s="100">
        <f>AVERAGE(E38:E41)</f>
        <v>1686980.303395763</v>
      </c>
      <c r="F42" s="99">
        <f>AVERAGE(F38:F41)</f>
        <v>1458722</v>
      </c>
      <c r="G42" s="101">
        <f>AVERAGE(G38:G41)</f>
        <v>1679279.9753919605</v>
      </c>
      <c r="H42" s="102"/>
    </row>
    <row r="43" spans="1:14" ht="26.25" customHeight="1" x14ac:dyDescent="0.4">
      <c r="A43" s="76" t="s">
        <v>67</v>
      </c>
      <c r="B43" s="77">
        <v>1</v>
      </c>
      <c r="C43" s="103" t="s">
        <v>68</v>
      </c>
      <c r="D43" s="104">
        <v>9.43</v>
      </c>
      <c r="E43" s="92"/>
      <c r="F43" s="104">
        <v>8.16</v>
      </c>
      <c r="H43" s="102"/>
    </row>
    <row r="44" spans="1:14" ht="26.25" customHeight="1" x14ac:dyDescent="0.4">
      <c r="A44" s="76" t="s">
        <v>69</v>
      </c>
      <c r="B44" s="77">
        <v>1</v>
      </c>
      <c r="C44" s="105" t="s">
        <v>70</v>
      </c>
      <c r="D44" s="106">
        <f>D43*$B$34</f>
        <v>9.43</v>
      </c>
      <c r="E44" s="107"/>
      <c r="F44" s="106">
        <f>F43*$B$34</f>
        <v>8.16</v>
      </c>
      <c r="H44" s="102"/>
    </row>
    <row r="45" spans="1:14" ht="19.5" customHeight="1" x14ac:dyDescent="0.3">
      <c r="A45" s="76" t="s">
        <v>71</v>
      </c>
      <c r="B45" s="108">
        <f>(B44/B43)*(B42/B41)*(B40/B39)*(B38/B37)*B36</f>
        <v>62.5</v>
      </c>
      <c r="C45" s="105" t="s">
        <v>72</v>
      </c>
      <c r="D45" s="109">
        <f>D44*$B$30/100</f>
        <v>9.4111399999999996</v>
      </c>
      <c r="E45" s="110"/>
      <c r="F45" s="109">
        <f>F44*$B$30/100</f>
        <v>8.1436799999999998</v>
      </c>
      <c r="H45" s="102"/>
    </row>
    <row r="46" spans="1:14" ht="19.5" customHeight="1" x14ac:dyDescent="0.3">
      <c r="A46" s="636" t="s">
        <v>73</v>
      </c>
      <c r="B46" s="637"/>
      <c r="C46" s="105" t="s">
        <v>74</v>
      </c>
      <c r="D46" s="111">
        <f>D45/$B$45</f>
        <v>0.15057824</v>
      </c>
      <c r="E46" s="112"/>
      <c r="F46" s="113">
        <f>F45/$B$45</f>
        <v>0.13029888000000001</v>
      </c>
      <c r="H46" s="102"/>
    </row>
    <row r="47" spans="1:14" ht="27" customHeight="1" x14ac:dyDescent="0.4">
      <c r="A47" s="638"/>
      <c r="B47" s="639"/>
      <c r="C47" s="114" t="s">
        <v>75</v>
      </c>
      <c r="D47" s="115">
        <v>0.15</v>
      </c>
      <c r="E47" s="116"/>
      <c r="F47" s="112"/>
      <c r="H47" s="102"/>
    </row>
    <row r="48" spans="1:14" ht="18.75" x14ac:dyDescent="0.3">
      <c r="C48" s="117" t="s">
        <v>76</v>
      </c>
      <c r="D48" s="109">
        <f>D47*$B$45</f>
        <v>9.375</v>
      </c>
      <c r="F48" s="118"/>
      <c r="H48" s="102"/>
    </row>
    <row r="49" spans="1:12" ht="19.5" customHeight="1" x14ac:dyDescent="0.3">
      <c r="C49" s="119" t="s">
        <v>77</v>
      </c>
      <c r="D49" s="120">
        <f>D48/B34</f>
        <v>9.375</v>
      </c>
      <c r="F49" s="118"/>
      <c r="H49" s="102"/>
    </row>
    <row r="50" spans="1:12" ht="18.75" x14ac:dyDescent="0.3">
      <c r="C50" s="74" t="s">
        <v>78</v>
      </c>
      <c r="D50" s="121">
        <f>AVERAGE(E38:E41,G38:G41)</f>
        <v>1682360.1065934815</v>
      </c>
      <c r="F50" s="122"/>
      <c r="H50" s="102"/>
    </row>
    <row r="51" spans="1:12" ht="18.75" x14ac:dyDescent="0.3">
      <c r="C51" s="76" t="s">
        <v>79</v>
      </c>
      <c r="D51" s="123">
        <f>STDEV(E38:E41,G38:G41)/D50</f>
        <v>2.5545996881015613E-3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5</v>
      </c>
      <c r="F52" s="122"/>
    </row>
    <row r="54" spans="1:12" ht="18.75" x14ac:dyDescent="0.3">
      <c r="A54" s="126" t="s">
        <v>1</v>
      </c>
      <c r="B54" s="127" t="s">
        <v>80</v>
      </c>
    </row>
    <row r="55" spans="1:12" ht="18.75" x14ac:dyDescent="0.3">
      <c r="A55" s="51" t="s">
        <v>81</v>
      </c>
      <c r="B55" s="128" t="str">
        <f>B21</f>
        <v>Each film coated tablet contains: Lamivudine USP 150 mg , Nevirapine 200mg and Zidovudine USP 300 mg.</v>
      </c>
    </row>
    <row r="56" spans="1:12" ht="26.25" customHeight="1" x14ac:dyDescent="0.4">
      <c r="A56" s="129" t="s">
        <v>82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83</v>
      </c>
      <c r="B57" s="198">
        <f>Uniformity!C46</f>
        <v>1227.5750000000003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84</v>
      </c>
      <c r="B59" s="75">
        <v>100</v>
      </c>
      <c r="C59" s="51"/>
      <c r="D59" s="132" t="s">
        <v>85</v>
      </c>
      <c r="E59" s="133" t="s">
        <v>57</v>
      </c>
      <c r="F59" s="133" t="s">
        <v>58</v>
      </c>
      <c r="G59" s="133" t="s">
        <v>86</v>
      </c>
      <c r="H59" s="78" t="s">
        <v>87</v>
      </c>
      <c r="L59" s="64"/>
    </row>
    <row r="60" spans="1:12" s="3" customFormat="1" ht="26.25" customHeight="1" x14ac:dyDescent="0.4">
      <c r="A60" s="76" t="s">
        <v>88</v>
      </c>
      <c r="B60" s="77">
        <v>5</v>
      </c>
      <c r="C60" s="640" t="s">
        <v>89</v>
      </c>
      <c r="D60" s="643">
        <v>1211.8699999999999</v>
      </c>
      <c r="E60" s="134">
        <v>1</v>
      </c>
      <c r="F60" s="135">
        <v>1676326</v>
      </c>
      <c r="G60" s="199">
        <f>IF(ISBLANK(F60),"-",(F60/$D$50*$D$47*$B$68)*($B$57/$D$60))</f>
        <v>151.39892074918373</v>
      </c>
      <c r="H60" s="217">
        <f t="shared" ref="H60:H71" si="0">IF(ISBLANK(F60),"-",(G60/$B$56)*100)</f>
        <v>100.93261383278916</v>
      </c>
      <c r="L60" s="64"/>
    </row>
    <row r="61" spans="1:12" s="3" customFormat="1" ht="26.25" customHeight="1" x14ac:dyDescent="0.4">
      <c r="A61" s="76" t="s">
        <v>90</v>
      </c>
      <c r="B61" s="77">
        <v>50</v>
      </c>
      <c r="C61" s="641"/>
      <c r="D61" s="644"/>
      <c r="E61" s="136">
        <v>2</v>
      </c>
      <c r="F61" s="89">
        <v>1678327</v>
      </c>
      <c r="G61" s="200">
        <f>IF(ISBLANK(F61),"-",(F61/$D$50*$D$47*$B$68)*($B$57/$D$60))</f>
        <v>151.57964290013715</v>
      </c>
      <c r="H61" s="218">
        <f t="shared" si="0"/>
        <v>101.05309526675809</v>
      </c>
      <c r="L61" s="64"/>
    </row>
    <row r="62" spans="1:12" s="3" customFormat="1" ht="26.25" customHeight="1" x14ac:dyDescent="0.4">
      <c r="A62" s="76" t="s">
        <v>91</v>
      </c>
      <c r="B62" s="77">
        <v>1</v>
      </c>
      <c r="C62" s="641"/>
      <c r="D62" s="644"/>
      <c r="E62" s="136">
        <v>3</v>
      </c>
      <c r="F62" s="137">
        <v>1663372</v>
      </c>
      <c r="G62" s="200">
        <f>IF(ISBLANK(F62),"-",(F62/$D$50*$D$47*$B$68)*($B$57/$D$60))</f>
        <v>150.22896835365628</v>
      </c>
      <c r="H62" s="218">
        <f t="shared" si="0"/>
        <v>100.15264556910419</v>
      </c>
      <c r="L62" s="64"/>
    </row>
    <row r="63" spans="1:12" ht="27" customHeight="1" x14ac:dyDescent="0.4">
      <c r="A63" s="76" t="s">
        <v>92</v>
      </c>
      <c r="B63" s="77">
        <v>1</v>
      </c>
      <c r="C63" s="642"/>
      <c r="D63" s="645"/>
      <c r="E63" s="138">
        <v>4</v>
      </c>
      <c r="F63" s="139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76" t="s">
        <v>93</v>
      </c>
      <c r="B64" s="77">
        <v>1</v>
      </c>
      <c r="C64" s="640" t="s">
        <v>94</v>
      </c>
      <c r="D64" s="643">
        <v>1231.5899999999999</v>
      </c>
      <c r="E64" s="134">
        <v>1</v>
      </c>
      <c r="F64" s="135">
        <v>1694538</v>
      </c>
      <c r="G64" s="199">
        <f>IF(ISBLANK(F64),"-",(F64/$D$50*$D$47*$B$68)*($B$57/$D$64))</f>
        <v>150.59324487016116</v>
      </c>
      <c r="H64" s="217">
        <f t="shared" si="0"/>
        <v>100.39549658010745</v>
      </c>
    </row>
    <row r="65" spans="1:8" ht="26.25" customHeight="1" x14ac:dyDescent="0.4">
      <c r="A65" s="76" t="s">
        <v>95</v>
      </c>
      <c r="B65" s="77">
        <v>1</v>
      </c>
      <c r="C65" s="641"/>
      <c r="D65" s="644"/>
      <c r="E65" s="136">
        <v>2</v>
      </c>
      <c r="F65" s="89">
        <v>1698187</v>
      </c>
      <c r="G65" s="200">
        <f>IF(ISBLANK(F65),"-",(F65/$D$50*$D$47*$B$68)*($B$57/$D$64))</f>
        <v>150.91753075252626</v>
      </c>
      <c r="H65" s="218">
        <f t="shared" si="0"/>
        <v>100.61168716835085</v>
      </c>
    </row>
    <row r="66" spans="1:8" ht="26.25" customHeight="1" x14ac:dyDescent="0.4">
      <c r="A66" s="76" t="s">
        <v>96</v>
      </c>
      <c r="B66" s="77">
        <v>1</v>
      </c>
      <c r="C66" s="641"/>
      <c r="D66" s="644"/>
      <c r="E66" s="136">
        <v>3</v>
      </c>
      <c r="F66" s="89">
        <v>1694211</v>
      </c>
      <c r="G66" s="200">
        <f>IF(ISBLANK(F66),"-",(F66/$D$50*$D$47*$B$68)*($B$57/$D$64))</f>
        <v>150.56418444715936</v>
      </c>
      <c r="H66" s="218">
        <f t="shared" si="0"/>
        <v>100.37612296477292</v>
      </c>
    </row>
    <row r="67" spans="1:8" ht="27" customHeight="1" x14ac:dyDescent="0.4">
      <c r="A67" s="76" t="s">
        <v>97</v>
      </c>
      <c r="B67" s="77">
        <v>1</v>
      </c>
      <c r="C67" s="642"/>
      <c r="D67" s="645"/>
      <c r="E67" s="138">
        <v>4</v>
      </c>
      <c r="F67" s="139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4">
      <c r="A68" s="76" t="s">
        <v>98</v>
      </c>
      <c r="B68" s="140">
        <f>(B67/B66)*(B65/B64)*(B63/B62)*(B61/B60)*B59</f>
        <v>1000</v>
      </c>
      <c r="C68" s="640" t="s">
        <v>99</v>
      </c>
      <c r="D68" s="643">
        <v>1222.44</v>
      </c>
      <c r="E68" s="134">
        <v>1</v>
      </c>
      <c r="F68" s="135">
        <v>1665992</v>
      </c>
      <c r="G68" s="199">
        <f>IF(ISBLANK(F68),"-",(F68/$D$50*$D$47*$B$68)*($B$57/$D$68))</f>
        <v>149.16457404393438</v>
      </c>
      <c r="H68" s="218">
        <f t="shared" si="0"/>
        <v>99.443049362622915</v>
      </c>
    </row>
    <row r="69" spans="1:8" ht="27" customHeight="1" x14ac:dyDescent="0.4">
      <c r="A69" s="124" t="s">
        <v>100</v>
      </c>
      <c r="B69" s="141">
        <f>(D47*B68)/B56*B57</f>
        <v>1227.5750000000003</v>
      </c>
      <c r="C69" s="641"/>
      <c r="D69" s="644"/>
      <c r="E69" s="136">
        <v>2</v>
      </c>
      <c r="F69" s="89">
        <v>1674219</v>
      </c>
      <c r="G69" s="200">
        <f>IF(ISBLANK(F69),"-",(F69/$D$50*$D$47*$B$68)*($B$57/$D$68))</f>
        <v>149.90117839177</v>
      </c>
      <c r="H69" s="218">
        <f t="shared" si="0"/>
        <v>99.934118927846669</v>
      </c>
    </row>
    <row r="70" spans="1:8" ht="26.25" customHeight="1" x14ac:dyDescent="0.4">
      <c r="A70" s="653" t="s">
        <v>73</v>
      </c>
      <c r="B70" s="654"/>
      <c r="C70" s="641"/>
      <c r="D70" s="644"/>
      <c r="E70" s="136">
        <v>3</v>
      </c>
      <c r="F70" s="89">
        <v>1683104</v>
      </c>
      <c r="G70" s="200">
        <f>IF(ISBLANK(F70),"-",(F70/$D$50*$D$47*$B$68)*($B$57/$D$68))</f>
        <v>150.69669676183443</v>
      </c>
      <c r="H70" s="218">
        <f t="shared" si="0"/>
        <v>100.46446450788962</v>
      </c>
    </row>
    <row r="71" spans="1:8" ht="27" customHeight="1" x14ac:dyDescent="0.4">
      <c r="A71" s="655"/>
      <c r="B71" s="656"/>
      <c r="C71" s="652"/>
      <c r="D71" s="645"/>
      <c r="E71" s="138">
        <v>4</v>
      </c>
      <c r="F71" s="139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66</v>
      </c>
      <c r="G72" s="205">
        <f>AVERAGE(G60:G71)</f>
        <v>150.56054903004031</v>
      </c>
      <c r="H72" s="220">
        <f>AVERAGE(H60:H71)</f>
        <v>100.37369935336019</v>
      </c>
    </row>
    <row r="73" spans="1:8" ht="26.25" customHeight="1" x14ac:dyDescent="0.4">
      <c r="C73" s="142"/>
      <c r="D73" s="142"/>
      <c r="E73" s="142"/>
      <c r="F73" s="145" t="s">
        <v>79</v>
      </c>
      <c r="G73" s="204">
        <f>STDEV(G60:G71)/G72</f>
        <v>4.9156030115361359E-3</v>
      </c>
      <c r="H73" s="204">
        <f>STDEV(H60:H71)/H72</f>
        <v>4.9156030115361524E-3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19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101</v>
      </c>
      <c r="B76" s="149" t="s">
        <v>102</v>
      </c>
      <c r="C76" s="648" t="str">
        <f>B26</f>
        <v>Lamivudine</v>
      </c>
      <c r="D76" s="648"/>
      <c r="E76" s="150" t="s">
        <v>103</v>
      </c>
      <c r="F76" s="150"/>
      <c r="G76" s="151">
        <f>H72</f>
        <v>100.37369935336019</v>
      </c>
      <c r="H76" s="152"/>
    </row>
    <row r="77" spans="1:8" ht="18.75" x14ac:dyDescent="0.3">
      <c r="A77" s="59" t="s">
        <v>104</v>
      </c>
      <c r="B77" s="59" t="s">
        <v>105</v>
      </c>
    </row>
    <row r="78" spans="1:8" ht="18.75" x14ac:dyDescent="0.3">
      <c r="A78" s="59"/>
      <c r="B78" s="59"/>
    </row>
    <row r="79" spans="1:8" ht="26.25" customHeight="1" x14ac:dyDescent="0.4">
      <c r="A79" s="60" t="s">
        <v>3</v>
      </c>
      <c r="B79" s="634" t="str">
        <f>B26</f>
        <v>Lamivudine</v>
      </c>
      <c r="C79" s="634"/>
    </row>
    <row r="80" spans="1:8" ht="26.25" customHeight="1" x14ac:dyDescent="0.4">
      <c r="A80" s="61" t="s">
        <v>43</v>
      </c>
      <c r="B80" s="634" t="str">
        <f>B27</f>
        <v>L42 3</v>
      </c>
      <c r="C80" s="634"/>
    </row>
    <row r="81" spans="1:12" ht="27" customHeight="1" x14ac:dyDescent="0.4">
      <c r="A81" s="61" t="s">
        <v>5</v>
      </c>
      <c r="B81" s="153">
        <f>B28</f>
        <v>99.8</v>
      </c>
    </row>
    <row r="82" spans="1:12" s="3" customFormat="1" ht="27" customHeight="1" x14ac:dyDescent="0.4">
      <c r="A82" s="61" t="s">
        <v>44</v>
      </c>
      <c r="B82" s="63">
        <v>0</v>
      </c>
      <c r="C82" s="625" t="s">
        <v>45</v>
      </c>
      <c r="D82" s="626"/>
      <c r="E82" s="626"/>
      <c r="F82" s="626"/>
      <c r="G82" s="627"/>
      <c r="I82" s="64"/>
      <c r="J82" s="64"/>
      <c r="K82" s="64"/>
      <c r="L82" s="64"/>
    </row>
    <row r="83" spans="1:12" s="3" customFormat="1" ht="19.5" customHeight="1" x14ac:dyDescent="0.3">
      <c r="A83" s="61" t="s">
        <v>46</v>
      </c>
      <c r="B83" s="65">
        <f>B81-B82</f>
        <v>99.8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47</v>
      </c>
      <c r="B84" s="68">
        <v>1</v>
      </c>
      <c r="C84" s="628" t="s">
        <v>106</v>
      </c>
      <c r="D84" s="629"/>
      <c r="E84" s="629"/>
      <c r="F84" s="629"/>
      <c r="G84" s="629"/>
      <c r="H84" s="630"/>
      <c r="I84" s="64"/>
      <c r="J84" s="64"/>
      <c r="K84" s="64"/>
      <c r="L84" s="64"/>
    </row>
    <row r="85" spans="1:12" s="3" customFormat="1" ht="27" customHeight="1" x14ac:dyDescent="0.4">
      <c r="A85" s="61" t="s">
        <v>49</v>
      </c>
      <c r="B85" s="68">
        <v>1</v>
      </c>
      <c r="C85" s="628" t="s">
        <v>107</v>
      </c>
      <c r="D85" s="629"/>
      <c r="E85" s="629"/>
      <c r="F85" s="629"/>
      <c r="G85" s="629"/>
      <c r="H85" s="63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51</v>
      </c>
      <c r="B87" s="73">
        <f>B84/B85</f>
        <v>1</v>
      </c>
      <c r="C87" s="51" t="s">
        <v>52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53</v>
      </c>
      <c r="B89" s="75">
        <v>10</v>
      </c>
      <c r="D89" s="154" t="s">
        <v>54</v>
      </c>
      <c r="E89" s="155"/>
      <c r="F89" s="631" t="s">
        <v>55</v>
      </c>
      <c r="G89" s="633"/>
    </row>
    <row r="90" spans="1:12" ht="27" customHeight="1" x14ac:dyDescent="0.4">
      <c r="A90" s="76" t="s">
        <v>56</v>
      </c>
      <c r="B90" s="77">
        <v>4</v>
      </c>
      <c r="C90" s="156" t="s">
        <v>57</v>
      </c>
      <c r="D90" s="79" t="s">
        <v>58</v>
      </c>
      <c r="E90" s="80" t="s">
        <v>59</v>
      </c>
      <c r="F90" s="79" t="s">
        <v>58</v>
      </c>
      <c r="G90" s="157" t="s">
        <v>59</v>
      </c>
      <c r="I90" s="82" t="s">
        <v>60</v>
      </c>
    </row>
    <row r="91" spans="1:12" ht="26.25" customHeight="1" x14ac:dyDescent="0.4">
      <c r="A91" s="76" t="s">
        <v>61</v>
      </c>
      <c r="B91" s="77">
        <v>25</v>
      </c>
      <c r="C91" s="158">
        <v>1</v>
      </c>
      <c r="D91" s="456"/>
      <c r="E91" s="85" t="str">
        <f>IF(ISBLANK(D91),"-",$D$101/$D$98*D91)</f>
        <v>-</v>
      </c>
      <c r="F91" s="456">
        <v>1459220</v>
      </c>
      <c r="G91" s="86">
        <f>IF(ISBLANK(F91),"-",$D$101/$F$98*F91)</f>
        <v>1866503.6363576828</v>
      </c>
      <c r="I91" s="87"/>
    </row>
    <row r="92" spans="1:12" ht="26.25" customHeight="1" x14ac:dyDescent="0.4">
      <c r="A92" s="76" t="s">
        <v>62</v>
      </c>
      <c r="B92" s="77">
        <v>1</v>
      </c>
      <c r="C92" s="143">
        <v>2</v>
      </c>
      <c r="D92" s="461">
        <v>1694101</v>
      </c>
      <c r="E92" s="90">
        <f>IF(ISBLANK(D92),"-",$D$101/$D$98*D92)</f>
        <v>1875106.0356839518</v>
      </c>
      <c r="F92" s="461">
        <v>1459220</v>
      </c>
      <c r="G92" s="91">
        <f>IF(ISBLANK(F92),"-",$D$101/$F$98*F92)</f>
        <v>1866503.6363576828</v>
      </c>
      <c r="I92" s="635">
        <f>ABS((F96/D96*D95)-F95)/D95</f>
        <v>3.9498234045509117E-3</v>
      </c>
    </row>
    <row r="93" spans="1:12" ht="26.25" customHeight="1" x14ac:dyDescent="0.4">
      <c r="A93" s="76" t="s">
        <v>63</v>
      </c>
      <c r="B93" s="77">
        <v>1</v>
      </c>
      <c r="C93" s="143">
        <v>3</v>
      </c>
      <c r="D93" s="461">
        <v>1692866</v>
      </c>
      <c r="E93" s="90">
        <f>IF(ISBLANK(D93),"-",$D$101/$D$98*D93)</f>
        <v>1873739.0829732988</v>
      </c>
      <c r="F93" s="461">
        <v>1457726</v>
      </c>
      <c r="G93" s="91">
        <f>IF(ISBLANK(F93),"-",$D$101/$F$98*F93)</f>
        <v>1864592.645257836</v>
      </c>
      <c r="I93" s="635"/>
    </row>
    <row r="94" spans="1:12" ht="27" customHeight="1" x14ac:dyDescent="0.4">
      <c r="A94" s="76" t="s">
        <v>64</v>
      </c>
      <c r="B94" s="77">
        <v>1</v>
      </c>
      <c r="C94" s="159">
        <v>4</v>
      </c>
      <c r="D94" s="466"/>
      <c r="E94" s="95" t="str">
        <f>IF(ISBLANK(D94),"-",$D$101/$D$98*D94)</f>
        <v>-</v>
      </c>
      <c r="F94" s="466"/>
      <c r="G94" s="96" t="str">
        <f>IF(ISBLANK(F94),"-",$D$101/$F$98*F94)</f>
        <v>-</v>
      </c>
      <c r="I94" s="97"/>
    </row>
    <row r="95" spans="1:12" ht="27" customHeight="1" x14ac:dyDescent="0.4">
      <c r="A95" s="76" t="s">
        <v>65</v>
      </c>
      <c r="B95" s="77">
        <v>1</v>
      </c>
      <c r="C95" s="160" t="s">
        <v>66</v>
      </c>
      <c r="D95" s="161">
        <f>AVERAGE(D91:D94)</f>
        <v>1693483.5</v>
      </c>
      <c r="E95" s="100">
        <f>AVERAGE(E91:E94)</f>
        <v>1874422.5593286254</v>
      </c>
      <c r="F95" s="162">
        <f>AVERAGE(F91:F94)</f>
        <v>1458722</v>
      </c>
      <c r="G95" s="163">
        <f>AVERAGE(G91:G94)</f>
        <v>1865866.6393244006</v>
      </c>
    </row>
    <row r="96" spans="1:12" ht="26.25" customHeight="1" x14ac:dyDescent="0.4">
      <c r="A96" s="76" t="s">
        <v>67</v>
      </c>
      <c r="B96" s="62">
        <v>1</v>
      </c>
      <c r="C96" s="164" t="s">
        <v>108</v>
      </c>
      <c r="D96" s="165">
        <f>D43</f>
        <v>9.43</v>
      </c>
      <c r="E96" s="92"/>
      <c r="F96" s="104">
        <f>F43</f>
        <v>8.16</v>
      </c>
    </row>
    <row r="97" spans="1:10" ht="26.25" customHeight="1" x14ac:dyDescent="0.4">
      <c r="A97" s="76" t="s">
        <v>69</v>
      </c>
      <c r="B97" s="62">
        <v>1</v>
      </c>
      <c r="C97" s="166" t="s">
        <v>109</v>
      </c>
      <c r="D97" s="167">
        <f>D96*$B$87</f>
        <v>9.43</v>
      </c>
      <c r="E97" s="107"/>
      <c r="F97" s="106">
        <f>F96*$B$87</f>
        <v>8.16</v>
      </c>
    </row>
    <row r="98" spans="1:10" ht="19.5" customHeight="1" x14ac:dyDescent="0.3">
      <c r="A98" s="76" t="s">
        <v>71</v>
      </c>
      <c r="B98" s="168">
        <f>(B97/B96)*(B95/B94)*(B93/B92)*(B91/B90)*B89</f>
        <v>62.5</v>
      </c>
      <c r="C98" s="166" t="s">
        <v>110</v>
      </c>
      <c r="D98" s="169">
        <f>D97*$B$83/100</f>
        <v>9.4111399999999996</v>
      </c>
      <c r="E98" s="110"/>
      <c r="F98" s="109">
        <f>F97*$B$83/100</f>
        <v>8.1436799999999998</v>
      </c>
    </row>
    <row r="99" spans="1:10" ht="19.5" customHeight="1" x14ac:dyDescent="0.3">
      <c r="A99" s="636" t="s">
        <v>73</v>
      </c>
      <c r="B99" s="650"/>
      <c r="C99" s="166" t="s">
        <v>111</v>
      </c>
      <c r="D99" s="170">
        <f>D98/$B$98</f>
        <v>0.15057824</v>
      </c>
      <c r="E99" s="110"/>
      <c r="F99" s="113">
        <f>F98/$B$98</f>
        <v>0.13029888000000001</v>
      </c>
      <c r="G99" s="171"/>
      <c r="H99" s="102"/>
    </row>
    <row r="100" spans="1:10" ht="19.5" customHeight="1" x14ac:dyDescent="0.3">
      <c r="A100" s="638"/>
      <c r="B100" s="651"/>
      <c r="C100" s="166" t="s">
        <v>75</v>
      </c>
      <c r="D100" s="172">
        <f>$B$56/$B$116</f>
        <v>0.16666666666666666</v>
      </c>
      <c r="F100" s="118"/>
      <c r="G100" s="173"/>
      <c r="H100" s="102"/>
    </row>
    <row r="101" spans="1:10" ht="18.75" x14ac:dyDescent="0.3">
      <c r="C101" s="166" t="s">
        <v>76</v>
      </c>
      <c r="D101" s="167">
        <f>D100*$B$98</f>
        <v>10.416666666666666</v>
      </c>
      <c r="F101" s="118"/>
      <c r="G101" s="171"/>
      <c r="H101" s="102"/>
    </row>
    <row r="102" spans="1:10" ht="19.5" customHeight="1" x14ac:dyDescent="0.3">
      <c r="C102" s="174" t="s">
        <v>77</v>
      </c>
      <c r="D102" s="175">
        <f>D101/B34</f>
        <v>10.416666666666666</v>
      </c>
      <c r="F102" s="122"/>
      <c r="G102" s="171"/>
      <c r="H102" s="102"/>
      <c r="J102" s="176"/>
    </row>
    <row r="103" spans="1:10" ht="18.75" x14ac:dyDescent="0.3">
      <c r="C103" s="177" t="s">
        <v>112</v>
      </c>
      <c r="D103" s="178">
        <f>AVERAGE(E91:E94,G91:G94)</f>
        <v>1869289.0073260902</v>
      </c>
      <c r="F103" s="122"/>
      <c r="G103" s="179"/>
      <c r="H103" s="102"/>
      <c r="J103" s="180"/>
    </row>
    <row r="104" spans="1:10" ht="18.75" x14ac:dyDescent="0.3">
      <c r="C104" s="145" t="s">
        <v>79</v>
      </c>
      <c r="D104" s="181">
        <f>STDEV(E91:E94,G91:G94)/D103</f>
        <v>2.5545996881014832E-3</v>
      </c>
      <c r="F104" s="122"/>
      <c r="G104" s="171"/>
      <c r="H104" s="102"/>
      <c r="J104" s="180"/>
    </row>
    <row r="105" spans="1:10" ht="19.5" customHeight="1" x14ac:dyDescent="0.3">
      <c r="C105" s="147" t="s">
        <v>19</v>
      </c>
      <c r="D105" s="182">
        <f>COUNT(E91:E94,G91:G94)</f>
        <v>5</v>
      </c>
      <c r="F105" s="122"/>
      <c r="G105" s="171"/>
      <c r="H105" s="102"/>
      <c r="J105" s="180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113</v>
      </c>
      <c r="B107" s="75">
        <v>900</v>
      </c>
      <c r="C107" s="221" t="s">
        <v>114</v>
      </c>
      <c r="D107" s="221" t="s">
        <v>58</v>
      </c>
      <c r="E107" s="221" t="s">
        <v>115</v>
      </c>
      <c r="F107" s="183" t="s">
        <v>116</v>
      </c>
    </row>
    <row r="108" spans="1:10" ht="26.25" customHeight="1" x14ac:dyDescent="0.4">
      <c r="A108" s="76" t="s">
        <v>117</v>
      </c>
      <c r="B108" s="77">
        <v>1</v>
      </c>
      <c r="C108" s="226">
        <v>1</v>
      </c>
      <c r="D108" s="227">
        <v>1832487</v>
      </c>
      <c r="E108" s="201">
        <f t="shared" ref="E108:E113" si="1">IF(ISBLANK(D108),"-",D108/$D$103*$D$100*$B$116)</f>
        <v>147.04684450757563</v>
      </c>
      <c r="F108" s="228">
        <f t="shared" ref="F108:F113" si="2">IF(ISBLANK(D108), "-", (E108/$B$56)*100)</f>
        <v>98.031229671717085</v>
      </c>
    </row>
    <row r="109" spans="1:10" ht="26.25" customHeight="1" x14ac:dyDescent="0.4">
      <c r="A109" s="76" t="s">
        <v>90</v>
      </c>
      <c r="B109" s="77">
        <v>1</v>
      </c>
      <c r="C109" s="222">
        <v>2</v>
      </c>
      <c r="D109" s="224">
        <v>1829099</v>
      </c>
      <c r="E109" s="202">
        <f t="shared" si="1"/>
        <v>146.77497643473708</v>
      </c>
      <c r="F109" s="229">
        <f t="shared" si="2"/>
        <v>97.849984289824718</v>
      </c>
    </row>
    <row r="110" spans="1:10" ht="26.25" customHeight="1" x14ac:dyDescent="0.4">
      <c r="A110" s="76" t="s">
        <v>91</v>
      </c>
      <c r="B110" s="77">
        <v>1</v>
      </c>
      <c r="C110" s="222">
        <v>3</v>
      </c>
      <c r="D110" s="224">
        <v>1834562</v>
      </c>
      <c r="E110" s="202">
        <f t="shared" si="1"/>
        <v>147.2133516655272</v>
      </c>
      <c r="F110" s="229">
        <f t="shared" si="2"/>
        <v>98.142234443684799</v>
      </c>
    </row>
    <row r="111" spans="1:10" ht="26.25" customHeight="1" x14ac:dyDescent="0.4">
      <c r="A111" s="76" t="s">
        <v>92</v>
      </c>
      <c r="B111" s="77">
        <v>1</v>
      </c>
      <c r="C111" s="222">
        <v>4</v>
      </c>
      <c r="D111" s="224">
        <v>1833604</v>
      </c>
      <c r="E111" s="202">
        <f t="shared" si="1"/>
        <v>147.13647751742235</v>
      </c>
      <c r="F111" s="229">
        <f t="shared" si="2"/>
        <v>98.09098501161489</v>
      </c>
    </row>
    <row r="112" spans="1:10" ht="26.25" customHeight="1" x14ac:dyDescent="0.4">
      <c r="A112" s="76" t="s">
        <v>93</v>
      </c>
      <c r="B112" s="77">
        <v>1</v>
      </c>
      <c r="C112" s="222">
        <v>5</v>
      </c>
      <c r="D112" s="224">
        <v>1834697</v>
      </c>
      <c r="E112" s="202">
        <f t="shared" si="1"/>
        <v>147.22418466134573</v>
      </c>
      <c r="F112" s="229">
        <f t="shared" si="2"/>
        <v>98.149456440897154</v>
      </c>
    </row>
    <row r="113" spans="1:10" ht="27" customHeight="1" x14ac:dyDescent="0.4">
      <c r="A113" s="76" t="s">
        <v>95</v>
      </c>
      <c r="B113" s="77">
        <v>1</v>
      </c>
      <c r="C113" s="223">
        <v>6</v>
      </c>
      <c r="D113" s="225">
        <v>1829988</v>
      </c>
      <c r="E113" s="203">
        <f t="shared" si="1"/>
        <v>146.8463137183125</v>
      </c>
      <c r="F113" s="230">
        <f t="shared" si="2"/>
        <v>97.897542478874996</v>
      </c>
    </row>
    <row r="114" spans="1:10" ht="27" customHeight="1" x14ac:dyDescent="0.4">
      <c r="A114" s="76" t="s">
        <v>96</v>
      </c>
      <c r="B114" s="77">
        <v>1</v>
      </c>
      <c r="C114" s="184"/>
      <c r="D114" s="143"/>
      <c r="E114" s="50"/>
      <c r="F114" s="231"/>
    </row>
    <row r="115" spans="1:10" ht="26.25" customHeight="1" x14ac:dyDescent="0.4">
      <c r="A115" s="76" t="s">
        <v>97</v>
      </c>
      <c r="B115" s="77">
        <v>1</v>
      </c>
      <c r="C115" s="184"/>
      <c r="D115" s="208" t="s">
        <v>66</v>
      </c>
      <c r="E115" s="210">
        <f>AVERAGE(E108:E113)</f>
        <v>147.04035808415338</v>
      </c>
      <c r="F115" s="232">
        <f>AVERAGE(F108:F113)</f>
        <v>98.026905389435612</v>
      </c>
    </row>
    <row r="116" spans="1:10" ht="27" customHeight="1" x14ac:dyDescent="0.4">
      <c r="A116" s="76" t="s">
        <v>98</v>
      </c>
      <c r="B116" s="108">
        <f>(B115/B114)*(B113/B112)*(B111/B110)*(B109/B108)*B107</f>
        <v>900</v>
      </c>
      <c r="C116" s="185"/>
      <c r="D116" s="209" t="s">
        <v>79</v>
      </c>
      <c r="E116" s="207">
        <f>STDEV(E108:E113)/E115</f>
        <v>1.2942389389861712E-3</v>
      </c>
      <c r="F116" s="186">
        <f>STDEV(F108:F113)/F115</f>
        <v>1.2942389389861845E-3</v>
      </c>
      <c r="I116" s="50"/>
    </row>
    <row r="117" spans="1:10" ht="27" customHeight="1" x14ac:dyDescent="0.4">
      <c r="A117" s="636" t="s">
        <v>73</v>
      </c>
      <c r="B117" s="637"/>
      <c r="C117" s="187"/>
      <c r="D117" s="147" t="s">
        <v>19</v>
      </c>
      <c r="E117" s="212">
        <f>COUNT(E108:E113)</f>
        <v>6</v>
      </c>
      <c r="F117" s="213">
        <f>COUNT(F108:F113)</f>
        <v>6</v>
      </c>
      <c r="I117" s="50"/>
      <c r="J117" s="180"/>
    </row>
    <row r="118" spans="1:10" ht="26.25" customHeight="1" x14ac:dyDescent="0.3">
      <c r="A118" s="638"/>
      <c r="B118" s="639"/>
      <c r="C118" s="50"/>
      <c r="D118" s="211"/>
      <c r="E118" s="616" t="s">
        <v>118</v>
      </c>
      <c r="F118" s="617"/>
      <c r="G118" s="50"/>
      <c r="H118" s="50"/>
      <c r="I118" s="50"/>
    </row>
    <row r="119" spans="1:10" ht="25.5" customHeight="1" x14ac:dyDescent="0.4">
      <c r="A119" s="196"/>
      <c r="B119" s="72"/>
      <c r="C119" s="50"/>
      <c r="D119" s="209" t="s">
        <v>119</v>
      </c>
      <c r="E119" s="214">
        <f>MIN(E108:E113)</f>
        <v>146.77497643473708</v>
      </c>
      <c r="F119" s="233">
        <f>MIN(F108:F113)</f>
        <v>97.849984289824718</v>
      </c>
      <c r="G119" s="50"/>
      <c r="H119" s="50"/>
      <c r="I119" s="50"/>
    </row>
    <row r="120" spans="1:10" ht="24" customHeight="1" x14ac:dyDescent="0.4">
      <c r="A120" s="196"/>
      <c r="B120" s="72"/>
      <c r="C120" s="50"/>
      <c r="D120" s="119" t="s">
        <v>120</v>
      </c>
      <c r="E120" s="215">
        <f>MAX(E108:E113)</f>
        <v>147.22418466134573</v>
      </c>
      <c r="F120" s="234">
        <f>MAX(F108:F113)</f>
        <v>98.149456440897154</v>
      </c>
      <c r="G120" s="50"/>
      <c r="H120" s="50"/>
      <c r="I120" s="50"/>
    </row>
    <row r="121" spans="1:10" ht="27" customHeight="1" x14ac:dyDescent="0.3">
      <c r="A121" s="196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6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6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101</v>
      </c>
      <c r="B124" s="149" t="s">
        <v>121</v>
      </c>
      <c r="C124" s="648" t="str">
        <f>B26</f>
        <v>Lamivudine</v>
      </c>
      <c r="D124" s="648"/>
      <c r="E124" s="150" t="s">
        <v>122</v>
      </c>
      <c r="F124" s="150"/>
      <c r="G124" s="235">
        <f>F115</f>
        <v>98.026905389435612</v>
      </c>
      <c r="H124" s="50"/>
      <c r="I124" s="50"/>
    </row>
    <row r="125" spans="1:10" ht="45.75" customHeight="1" x14ac:dyDescent="0.65">
      <c r="A125" s="60"/>
      <c r="B125" s="149" t="s">
        <v>123</v>
      </c>
      <c r="C125" s="61" t="s">
        <v>124</v>
      </c>
      <c r="D125" s="235">
        <f>MIN(F108:F113)</f>
        <v>97.849984289824718</v>
      </c>
      <c r="E125" s="160" t="s">
        <v>125</v>
      </c>
      <c r="F125" s="235">
        <f>MAX(F108:F113)</f>
        <v>98.149456440897154</v>
      </c>
      <c r="G125" s="151"/>
      <c r="H125" s="50"/>
      <c r="I125" s="50"/>
    </row>
    <row r="126" spans="1:10" ht="19.5" customHeight="1" x14ac:dyDescent="0.3">
      <c r="A126" s="188"/>
      <c r="B126" s="188"/>
      <c r="C126" s="189"/>
      <c r="D126" s="189"/>
      <c r="E126" s="189"/>
      <c r="F126" s="189"/>
      <c r="G126" s="189"/>
      <c r="H126" s="189"/>
    </row>
    <row r="127" spans="1:10" ht="18.75" x14ac:dyDescent="0.3">
      <c r="B127" s="649" t="s">
        <v>21</v>
      </c>
      <c r="C127" s="649"/>
      <c r="E127" s="156" t="s">
        <v>22</v>
      </c>
      <c r="F127" s="190"/>
      <c r="G127" s="649" t="s">
        <v>23</v>
      </c>
      <c r="H127" s="649"/>
    </row>
    <row r="128" spans="1:10" ht="69.95" customHeight="1" x14ac:dyDescent="0.3">
      <c r="A128" s="191" t="s">
        <v>24</v>
      </c>
      <c r="B128" s="192"/>
      <c r="C128" s="192"/>
      <c r="E128" s="192"/>
      <c r="F128" s="50"/>
      <c r="G128" s="193"/>
      <c r="H128" s="193"/>
    </row>
    <row r="129" spans="1:9" ht="69.95" customHeight="1" x14ac:dyDescent="0.3">
      <c r="A129" s="191" t="s">
        <v>25</v>
      </c>
      <c r="B129" s="194"/>
      <c r="C129" s="194"/>
      <c r="E129" s="194"/>
      <c r="F129" s="50"/>
      <c r="G129" s="195"/>
      <c r="H129" s="195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50" zoomScaleNormal="40" zoomScaleSheetLayoutView="50" zoomScalePageLayoutView="55" workbookViewId="0">
      <selection activeCell="D68" sqref="D68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6" t="s">
        <v>40</v>
      </c>
      <c r="B1" s="646"/>
      <c r="C1" s="646"/>
      <c r="D1" s="646"/>
      <c r="E1" s="646"/>
      <c r="F1" s="646"/>
      <c r="G1" s="646"/>
      <c r="H1" s="646"/>
      <c r="I1" s="646"/>
    </row>
    <row r="2" spans="1:9" ht="18.75" customHeight="1" x14ac:dyDescent="0.25">
      <c r="A2" s="646"/>
      <c r="B2" s="646"/>
      <c r="C2" s="646"/>
      <c r="D2" s="646"/>
      <c r="E2" s="646"/>
      <c r="F2" s="646"/>
      <c r="G2" s="646"/>
      <c r="H2" s="646"/>
      <c r="I2" s="646"/>
    </row>
    <row r="3" spans="1:9" ht="18.75" customHeight="1" x14ac:dyDescent="0.25">
      <c r="A3" s="646"/>
      <c r="B3" s="646"/>
      <c r="C3" s="646"/>
      <c r="D3" s="646"/>
      <c r="E3" s="646"/>
      <c r="F3" s="646"/>
      <c r="G3" s="646"/>
      <c r="H3" s="646"/>
      <c r="I3" s="646"/>
    </row>
    <row r="4" spans="1:9" ht="18.75" customHeight="1" x14ac:dyDescent="0.25">
      <c r="A4" s="646"/>
      <c r="B4" s="646"/>
      <c r="C4" s="646"/>
      <c r="D4" s="646"/>
      <c r="E4" s="646"/>
      <c r="F4" s="646"/>
      <c r="G4" s="646"/>
      <c r="H4" s="646"/>
      <c r="I4" s="646"/>
    </row>
    <row r="5" spans="1:9" ht="18.75" customHeight="1" x14ac:dyDescent="0.25">
      <c r="A5" s="646"/>
      <c r="B5" s="646"/>
      <c r="C5" s="646"/>
      <c r="D5" s="646"/>
      <c r="E5" s="646"/>
      <c r="F5" s="646"/>
      <c r="G5" s="646"/>
      <c r="H5" s="646"/>
      <c r="I5" s="646"/>
    </row>
    <row r="6" spans="1:9" ht="18.75" customHeight="1" x14ac:dyDescent="0.25">
      <c r="A6" s="646"/>
      <c r="B6" s="646"/>
      <c r="C6" s="646"/>
      <c r="D6" s="646"/>
      <c r="E6" s="646"/>
      <c r="F6" s="646"/>
      <c r="G6" s="646"/>
      <c r="H6" s="646"/>
      <c r="I6" s="646"/>
    </row>
    <row r="7" spans="1:9" ht="18.75" customHeight="1" x14ac:dyDescent="0.25">
      <c r="A7" s="646"/>
      <c r="B7" s="646"/>
      <c r="C7" s="646"/>
      <c r="D7" s="646"/>
      <c r="E7" s="646"/>
      <c r="F7" s="646"/>
      <c r="G7" s="646"/>
      <c r="H7" s="646"/>
      <c r="I7" s="646"/>
    </row>
    <row r="8" spans="1:9" x14ac:dyDescent="0.25">
      <c r="A8" s="647" t="s">
        <v>41</v>
      </c>
      <c r="B8" s="647"/>
      <c r="C8" s="647"/>
      <c r="D8" s="647"/>
      <c r="E8" s="647"/>
      <c r="F8" s="647"/>
      <c r="G8" s="647"/>
      <c r="H8" s="647"/>
      <c r="I8" s="647"/>
    </row>
    <row r="9" spans="1:9" x14ac:dyDescent="0.25">
      <c r="A9" s="647"/>
      <c r="B9" s="647"/>
      <c r="C9" s="647"/>
      <c r="D9" s="647"/>
      <c r="E9" s="647"/>
      <c r="F9" s="647"/>
      <c r="G9" s="647"/>
      <c r="H9" s="647"/>
      <c r="I9" s="647"/>
    </row>
    <row r="10" spans="1:9" x14ac:dyDescent="0.25">
      <c r="A10" s="647"/>
      <c r="B10" s="647"/>
      <c r="C10" s="647"/>
      <c r="D10" s="647"/>
      <c r="E10" s="647"/>
      <c r="F10" s="647"/>
      <c r="G10" s="647"/>
      <c r="H10" s="647"/>
      <c r="I10" s="647"/>
    </row>
    <row r="11" spans="1:9" x14ac:dyDescent="0.25">
      <c r="A11" s="647"/>
      <c r="B11" s="647"/>
      <c r="C11" s="647"/>
      <c r="D11" s="647"/>
      <c r="E11" s="647"/>
      <c r="F11" s="647"/>
      <c r="G11" s="647"/>
      <c r="H11" s="647"/>
      <c r="I11" s="647"/>
    </row>
    <row r="12" spans="1:9" x14ac:dyDescent="0.25">
      <c r="A12" s="647"/>
      <c r="B12" s="647"/>
      <c r="C12" s="647"/>
      <c r="D12" s="647"/>
      <c r="E12" s="647"/>
      <c r="F12" s="647"/>
      <c r="G12" s="647"/>
      <c r="H12" s="647"/>
      <c r="I12" s="647"/>
    </row>
    <row r="13" spans="1:9" x14ac:dyDescent="0.25">
      <c r="A13" s="647"/>
      <c r="B13" s="647"/>
      <c r="C13" s="647"/>
      <c r="D13" s="647"/>
      <c r="E13" s="647"/>
      <c r="F13" s="647"/>
      <c r="G13" s="647"/>
      <c r="H13" s="647"/>
      <c r="I13" s="647"/>
    </row>
    <row r="14" spans="1:9" x14ac:dyDescent="0.25">
      <c r="A14" s="647"/>
      <c r="B14" s="647"/>
      <c r="C14" s="647"/>
      <c r="D14" s="647"/>
      <c r="E14" s="647"/>
      <c r="F14" s="647"/>
      <c r="G14" s="647"/>
      <c r="H14" s="647"/>
      <c r="I14" s="647"/>
    </row>
    <row r="15" spans="1:9" ht="19.5" customHeight="1" x14ac:dyDescent="0.3">
      <c r="A15" s="422"/>
    </row>
    <row r="16" spans="1:9" ht="19.5" customHeight="1" x14ac:dyDescent="0.3">
      <c r="A16" s="619" t="s">
        <v>26</v>
      </c>
      <c r="B16" s="620"/>
      <c r="C16" s="620"/>
      <c r="D16" s="620"/>
      <c r="E16" s="620"/>
      <c r="F16" s="620"/>
      <c r="G16" s="620"/>
      <c r="H16" s="621"/>
    </row>
    <row r="17" spans="1:14" ht="20.25" customHeight="1" x14ac:dyDescent="0.25">
      <c r="A17" s="622" t="s">
        <v>42</v>
      </c>
      <c r="B17" s="622"/>
      <c r="C17" s="622"/>
      <c r="D17" s="622"/>
      <c r="E17" s="622"/>
      <c r="F17" s="622"/>
      <c r="G17" s="622"/>
      <c r="H17" s="622"/>
    </row>
    <row r="18" spans="1:14" ht="26.25" customHeight="1" x14ac:dyDescent="0.4">
      <c r="A18" s="424" t="s">
        <v>28</v>
      </c>
      <c r="B18" s="618" t="s">
        <v>4</v>
      </c>
      <c r="C18" s="618"/>
      <c r="D18" s="569"/>
      <c r="E18" s="425"/>
      <c r="F18" s="426"/>
      <c r="G18" s="426"/>
      <c r="H18" s="426"/>
    </row>
    <row r="19" spans="1:14" ht="26.25" customHeight="1" x14ac:dyDescent="0.4">
      <c r="A19" s="424" t="s">
        <v>29</v>
      </c>
      <c r="B19" s="427" t="s">
        <v>6</v>
      </c>
      <c r="C19" s="578">
        <v>1</v>
      </c>
      <c r="D19" s="426"/>
      <c r="E19" s="426"/>
      <c r="F19" s="426"/>
      <c r="G19" s="426"/>
      <c r="H19" s="426"/>
    </row>
    <row r="20" spans="1:14" ht="26.25" customHeight="1" x14ac:dyDescent="0.4">
      <c r="A20" s="424" t="s">
        <v>30</v>
      </c>
      <c r="B20" s="623" t="s">
        <v>8</v>
      </c>
      <c r="C20" s="623"/>
      <c r="D20" s="426"/>
      <c r="E20" s="426"/>
      <c r="F20" s="426"/>
      <c r="G20" s="426"/>
      <c r="H20" s="426"/>
    </row>
    <row r="21" spans="1:14" ht="26.25" customHeight="1" x14ac:dyDescent="0.4">
      <c r="A21" s="424" t="s">
        <v>31</v>
      </c>
      <c r="B21" s="623" t="s">
        <v>10</v>
      </c>
      <c r="C21" s="623"/>
      <c r="D21" s="623"/>
      <c r="E21" s="623"/>
      <c r="F21" s="623"/>
      <c r="G21" s="623"/>
      <c r="H21" s="623"/>
      <c r="I21" s="428"/>
    </row>
    <row r="22" spans="1:14" ht="26.25" customHeight="1" x14ac:dyDescent="0.4">
      <c r="A22" s="424" t="s">
        <v>32</v>
      </c>
      <c r="B22" s="429" t="s">
        <v>11</v>
      </c>
      <c r="C22" s="426"/>
      <c r="D22" s="426"/>
      <c r="E22" s="426"/>
      <c r="F22" s="426"/>
      <c r="G22" s="426"/>
      <c r="H22" s="426"/>
    </row>
    <row r="23" spans="1:14" ht="26.25" customHeight="1" x14ac:dyDescent="0.4">
      <c r="A23" s="424" t="s">
        <v>33</v>
      </c>
      <c r="B23" s="429"/>
      <c r="C23" s="426"/>
      <c r="D23" s="426"/>
      <c r="E23" s="426"/>
      <c r="F23" s="426"/>
      <c r="G23" s="426"/>
      <c r="H23" s="426"/>
    </row>
    <row r="24" spans="1:14" ht="18.75" x14ac:dyDescent="0.3">
      <c r="A24" s="424"/>
      <c r="B24" s="430"/>
    </row>
    <row r="25" spans="1:14" ht="18.75" x14ac:dyDescent="0.3">
      <c r="A25" s="431" t="s">
        <v>1</v>
      </c>
      <c r="B25" s="430"/>
    </row>
    <row r="26" spans="1:14" ht="26.25" customHeight="1" x14ac:dyDescent="0.4">
      <c r="A26" s="432" t="s">
        <v>3</v>
      </c>
      <c r="B26" s="618" t="s">
        <v>128</v>
      </c>
      <c r="C26" s="618"/>
    </row>
    <row r="27" spans="1:14" ht="26.25" customHeight="1" x14ac:dyDescent="0.4">
      <c r="A27" s="433" t="s">
        <v>43</v>
      </c>
      <c r="B27" s="624" t="s">
        <v>129</v>
      </c>
      <c r="C27" s="624"/>
    </row>
    <row r="28" spans="1:14" ht="27" customHeight="1" x14ac:dyDescent="0.4">
      <c r="A28" s="433" t="s">
        <v>5</v>
      </c>
      <c r="B28" s="434">
        <v>99</v>
      </c>
    </row>
    <row r="29" spans="1:14" s="3" customFormat="1" ht="27" customHeight="1" x14ac:dyDescent="0.4">
      <c r="A29" s="433" t="s">
        <v>44</v>
      </c>
      <c r="B29" s="435">
        <v>0</v>
      </c>
      <c r="C29" s="625" t="s">
        <v>45</v>
      </c>
      <c r="D29" s="626"/>
      <c r="E29" s="626"/>
      <c r="F29" s="626"/>
      <c r="G29" s="627"/>
      <c r="I29" s="436"/>
      <c r="J29" s="436"/>
      <c r="K29" s="436"/>
      <c r="L29" s="436"/>
    </row>
    <row r="30" spans="1:14" s="3" customFormat="1" ht="19.5" customHeight="1" x14ac:dyDescent="0.3">
      <c r="A30" s="433" t="s">
        <v>46</v>
      </c>
      <c r="B30" s="437">
        <f>B28-B29</f>
        <v>99</v>
      </c>
      <c r="C30" s="438"/>
      <c r="D30" s="438"/>
      <c r="E30" s="438"/>
      <c r="F30" s="438"/>
      <c r="G30" s="439"/>
      <c r="I30" s="436"/>
      <c r="J30" s="436"/>
      <c r="K30" s="436"/>
      <c r="L30" s="436"/>
    </row>
    <row r="31" spans="1:14" s="3" customFormat="1" ht="27" customHeight="1" x14ac:dyDescent="0.4">
      <c r="A31" s="433" t="s">
        <v>47</v>
      </c>
      <c r="B31" s="440">
        <v>1</v>
      </c>
      <c r="C31" s="628" t="s">
        <v>48</v>
      </c>
      <c r="D31" s="629"/>
      <c r="E31" s="629"/>
      <c r="F31" s="629"/>
      <c r="G31" s="629"/>
      <c r="H31" s="630"/>
      <c r="I31" s="436"/>
      <c r="J31" s="436"/>
      <c r="K31" s="436"/>
      <c r="L31" s="436"/>
    </row>
    <row r="32" spans="1:14" s="3" customFormat="1" ht="27" customHeight="1" x14ac:dyDescent="0.4">
      <c r="A32" s="433" t="s">
        <v>49</v>
      </c>
      <c r="B32" s="440">
        <v>1</v>
      </c>
      <c r="C32" s="628" t="s">
        <v>50</v>
      </c>
      <c r="D32" s="629"/>
      <c r="E32" s="629"/>
      <c r="F32" s="629"/>
      <c r="G32" s="629"/>
      <c r="H32" s="630"/>
      <c r="I32" s="436"/>
      <c r="J32" s="436"/>
      <c r="K32" s="436"/>
      <c r="L32" s="441"/>
      <c r="M32" s="441"/>
      <c r="N32" s="442"/>
    </row>
    <row r="33" spans="1:14" s="3" customFormat="1" ht="17.25" customHeight="1" x14ac:dyDescent="0.3">
      <c r="A33" s="433"/>
      <c r="B33" s="443"/>
      <c r="C33" s="444"/>
      <c r="D33" s="444"/>
      <c r="E33" s="444"/>
      <c r="F33" s="444"/>
      <c r="G33" s="444"/>
      <c r="H33" s="444"/>
      <c r="I33" s="436"/>
      <c r="J33" s="436"/>
      <c r="K33" s="436"/>
      <c r="L33" s="441"/>
      <c r="M33" s="441"/>
      <c r="N33" s="442"/>
    </row>
    <row r="34" spans="1:14" s="3" customFormat="1" ht="18.75" x14ac:dyDescent="0.3">
      <c r="A34" s="433" t="s">
        <v>51</v>
      </c>
      <c r="B34" s="445">
        <f>B31/B32</f>
        <v>1</v>
      </c>
      <c r="C34" s="423" t="s">
        <v>52</v>
      </c>
      <c r="D34" s="423"/>
      <c r="E34" s="423"/>
      <c r="F34" s="423"/>
      <c r="G34" s="423"/>
      <c r="I34" s="436"/>
      <c r="J34" s="436"/>
      <c r="K34" s="436"/>
      <c r="L34" s="441"/>
      <c r="M34" s="441"/>
      <c r="N34" s="442"/>
    </row>
    <row r="35" spans="1:14" s="3" customFormat="1" ht="19.5" customHeight="1" x14ac:dyDescent="0.3">
      <c r="A35" s="433"/>
      <c r="B35" s="437"/>
      <c r="G35" s="423"/>
      <c r="I35" s="436"/>
      <c r="J35" s="436"/>
      <c r="K35" s="436"/>
      <c r="L35" s="441"/>
      <c r="M35" s="441"/>
      <c r="N35" s="442"/>
    </row>
    <row r="36" spans="1:14" s="3" customFormat="1" ht="27" customHeight="1" x14ac:dyDescent="0.4">
      <c r="A36" s="446" t="s">
        <v>53</v>
      </c>
      <c r="B36" s="447">
        <v>10</v>
      </c>
      <c r="C36" s="423"/>
      <c r="D36" s="631" t="s">
        <v>54</v>
      </c>
      <c r="E36" s="632"/>
      <c r="F36" s="631" t="s">
        <v>55</v>
      </c>
      <c r="G36" s="633"/>
      <c r="J36" s="436"/>
      <c r="K36" s="436"/>
      <c r="L36" s="441"/>
      <c r="M36" s="441"/>
      <c r="N36" s="442"/>
    </row>
    <row r="37" spans="1:14" s="3" customFormat="1" ht="27" customHeight="1" x14ac:dyDescent="0.4">
      <c r="A37" s="448" t="s">
        <v>56</v>
      </c>
      <c r="B37" s="449">
        <v>4</v>
      </c>
      <c r="C37" s="450" t="s">
        <v>57</v>
      </c>
      <c r="D37" s="451" t="s">
        <v>58</v>
      </c>
      <c r="E37" s="452" t="s">
        <v>59</v>
      </c>
      <c r="F37" s="451" t="s">
        <v>58</v>
      </c>
      <c r="G37" s="453" t="s">
        <v>59</v>
      </c>
      <c r="I37" s="454" t="s">
        <v>60</v>
      </c>
      <c r="J37" s="436"/>
      <c r="K37" s="436"/>
      <c r="L37" s="441"/>
      <c r="M37" s="441"/>
      <c r="N37" s="442"/>
    </row>
    <row r="38" spans="1:14" s="3" customFormat="1" ht="26.25" customHeight="1" x14ac:dyDescent="0.4">
      <c r="A38" s="448" t="s">
        <v>61</v>
      </c>
      <c r="B38" s="449">
        <v>25</v>
      </c>
      <c r="C38" s="455">
        <v>1</v>
      </c>
      <c r="D38" s="456"/>
      <c r="E38" s="457" t="str">
        <f>IF(ISBLANK(D38),"-",$D$48/$D$45*D38)</f>
        <v>-</v>
      </c>
      <c r="F38" s="456">
        <v>2287803</v>
      </c>
      <c r="G38" s="458">
        <f>IF(ISBLANK(F38),"-",$D$48/$F$45*F38)</f>
        <v>3011091.1933792401</v>
      </c>
      <c r="I38" s="459"/>
      <c r="J38" s="436"/>
      <c r="K38" s="436"/>
      <c r="L38" s="441"/>
      <c r="M38" s="441"/>
      <c r="N38" s="442"/>
    </row>
    <row r="39" spans="1:14" s="3" customFormat="1" ht="26.25" customHeight="1" x14ac:dyDescent="0.4">
      <c r="A39" s="448" t="s">
        <v>62</v>
      </c>
      <c r="B39" s="449">
        <v>1</v>
      </c>
      <c r="C39" s="460">
        <v>2</v>
      </c>
      <c r="D39" s="461">
        <v>2356464</v>
      </c>
      <c r="E39" s="462">
        <f>IF(ISBLANK(D39),"-",$D$48/$D$45*D39)</f>
        <v>3005387.2053872058</v>
      </c>
      <c r="F39" s="461">
        <v>2286533</v>
      </c>
      <c r="G39" s="463">
        <f>IF(ISBLANK(F39),"-",$D$48/$F$45*F39)</f>
        <v>3009419.6832817397</v>
      </c>
      <c r="I39" s="635">
        <f>ABS((F43/D43*D42)-F42)/D42</f>
        <v>1.1944613379318598E-3</v>
      </c>
      <c r="J39" s="436"/>
      <c r="K39" s="436"/>
      <c r="L39" s="441"/>
      <c r="M39" s="441"/>
      <c r="N39" s="442"/>
    </row>
    <row r="40" spans="1:14" ht="26.25" customHeight="1" x14ac:dyDescent="0.4">
      <c r="A40" s="448" t="s">
        <v>63</v>
      </c>
      <c r="B40" s="449">
        <v>1</v>
      </c>
      <c r="C40" s="460">
        <v>3</v>
      </c>
      <c r="D40" s="461">
        <v>2357115</v>
      </c>
      <c r="E40" s="462">
        <f>IF(ISBLANK(D40),"-",$D$48/$D$45*D40)</f>
        <v>3006217.477808387</v>
      </c>
      <c r="F40" s="461">
        <v>2285463</v>
      </c>
      <c r="G40" s="463">
        <f>IF(ISBLANK(F40),"-",$D$48/$F$45*F40)</f>
        <v>3008011.4031208535</v>
      </c>
      <c r="I40" s="635"/>
      <c r="L40" s="441"/>
      <c r="M40" s="441"/>
      <c r="N40" s="464"/>
    </row>
    <row r="41" spans="1:14" ht="27" customHeight="1" x14ac:dyDescent="0.4">
      <c r="A41" s="448" t="s">
        <v>64</v>
      </c>
      <c r="B41" s="449">
        <v>1</v>
      </c>
      <c r="C41" s="465">
        <v>4</v>
      </c>
      <c r="D41" s="466"/>
      <c r="E41" s="467" t="str">
        <f>IF(ISBLANK(D41),"-",$D$48/$D$45*D41)</f>
        <v>-</v>
      </c>
      <c r="F41" s="466"/>
      <c r="G41" s="468" t="str">
        <f>IF(ISBLANK(F41),"-",$D$48/$F$45*F41)</f>
        <v>-</v>
      </c>
      <c r="I41" s="469"/>
      <c r="L41" s="441"/>
      <c r="M41" s="441"/>
      <c r="N41" s="464"/>
    </row>
    <row r="42" spans="1:14" ht="27" customHeight="1" x14ac:dyDescent="0.4">
      <c r="A42" s="448" t="s">
        <v>65</v>
      </c>
      <c r="B42" s="449">
        <v>1</v>
      </c>
      <c r="C42" s="470" t="s">
        <v>66</v>
      </c>
      <c r="D42" s="471">
        <f>AVERAGE(D38:D41)</f>
        <v>2356789.5</v>
      </c>
      <c r="E42" s="472">
        <f>AVERAGE(E38:E41)</f>
        <v>3005802.3415977964</v>
      </c>
      <c r="F42" s="471">
        <f>AVERAGE(F38:F41)</f>
        <v>2286599.6666666665</v>
      </c>
      <c r="G42" s="473">
        <f>AVERAGE(G38:G41)</f>
        <v>3009507.4265939444</v>
      </c>
      <c r="H42" s="474"/>
    </row>
    <row r="43" spans="1:14" ht="26.25" customHeight="1" x14ac:dyDescent="0.4">
      <c r="A43" s="448" t="s">
        <v>67</v>
      </c>
      <c r="B43" s="449">
        <v>1</v>
      </c>
      <c r="C43" s="475" t="s">
        <v>68</v>
      </c>
      <c r="D43" s="476">
        <v>14.85</v>
      </c>
      <c r="E43" s="464"/>
      <c r="F43" s="476">
        <v>14.39</v>
      </c>
      <c r="H43" s="474"/>
    </row>
    <row r="44" spans="1:14" ht="26.25" customHeight="1" x14ac:dyDescent="0.4">
      <c r="A44" s="448" t="s">
        <v>69</v>
      </c>
      <c r="B44" s="449">
        <v>1</v>
      </c>
      <c r="C44" s="477" t="s">
        <v>70</v>
      </c>
      <c r="D44" s="478">
        <f>D43*$B$34</f>
        <v>14.85</v>
      </c>
      <c r="E44" s="479"/>
      <c r="F44" s="478">
        <f>F43*$B$34</f>
        <v>14.39</v>
      </c>
      <c r="H44" s="474"/>
    </row>
    <row r="45" spans="1:14" ht="19.5" customHeight="1" x14ac:dyDescent="0.3">
      <c r="A45" s="448" t="s">
        <v>71</v>
      </c>
      <c r="B45" s="480">
        <f>(B44/B43)*(B42/B41)*(B40/B39)*(B38/B37)*B36</f>
        <v>62.5</v>
      </c>
      <c r="C45" s="477" t="s">
        <v>72</v>
      </c>
      <c r="D45" s="481">
        <f>D44*$B$30/100</f>
        <v>14.701499999999999</v>
      </c>
      <c r="E45" s="482"/>
      <c r="F45" s="481">
        <f>F44*$B$30/100</f>
        <v>14.246100000000002</v>
      </c>
      <c r="H45" s="474"/>
    </row>
    <row r="46" spans="1:14" ht="19.5" customHeight="1" x14ac:dyDescent="0.3">
      <c r="A46" s="636" t="s">
        <v>73</v>
      </c>
      <c r="B46" s="637"/>
      <c r="C46" s="477" t="s">
        <v>74</v>
      </c>
      <c r="D46" s="483">
        <f>D45/$B$45</f>
        <v>0.23522399999999999</v>
      </c>
      <c r="E46" s="484"/>
      <c r="F46" s="485">
        <f>F45/$B$45</f>
        <v>0.22793760000000002</v>
      </c>
      <c r="H46" s="474"/>
    </row>
    <row r="47" spans="1:14" ht="27" customHeight="1" x14ac:dyDescent="0.4">
      <c r="A47" s="638"/>
      <c r="B47" s="639"/>
      <c r="C47" s="486" t="s">
        <v>75</v>
      </c>
      <c r="D47" s="487">
        <v>0.3</v>
      </c>
      <c r="E47" s="488"/>
      <c r="F47" s="484"/>
      <c r="H47" s="474"/>
    </row>
    <row r="48" spans="1:14" ht="18.75" x14ac:dyDescent="0.3">
      <c r="C48" s="489" t="s">
        <v>76</v>
      </c>
      <c r="D48" s="481">
        <f>D47*$B$45</f>
        <v>18.75</v>
      </c>
      <c r="F48" s="490"/>
      <c r="H48" s="474"/>
    </row>
    <row r="49" spans="1:12" ht="19.5" customHeight="1" x14ac:dyDescent="0.3">
      <c r="C49" s="491" t="s">
        <v>77</v>
      </c>
      <c r="D49" s="492">
        <f>D48/B34</f>
        <v>18.75</v>
      </c>
      <c r="F49" s="490"/>
      <c r="H49" s="474"/>
    </row>
    <row r="50" spans="1:12" ht="18.75" x14ac:dyDescent="0.3">
      <c r="C50" s="446" t="s">
        <v>78</v>
      </c>
      <c r="D50" s="493">
        <f>AVERAGE(E38:E41,G38:G41)</f>
        <v>3008025.3925954853</v>
      </c>
      <c r="F50" s="494"/>
      <c r="H50" s="474"/>
    </row>
    <row r="51" spans="1:12" ht="18.75" x14ac:dyDescent="0.3">
      <c r="C51" s="448" t="s">
        <v>79</v>
      </c>
      <c r="D51" s="495">
        <f>STDEV(E38:E41,G38:G41)/D50</f>
        <v>7.7202853500011692E-4</v>
      </c>
      <c r="F51" s="494"/>
      <c r="H51" s="474"/>
    </row>
    <row r="52" spans="1:12" ht="19.5" customHeight="1" x14ac:dyDescent="0.3">
      <c r="C52" s="496" t="s">
        <v>19</v>
      </c>
      <c r="D52" s="497">
        <f>COUNT(E38:E41,G38:G41)</f>
        <v>5</v>
      </c>
      <c r="F52" s="494"/>
    </row>
    <row r="54" spans="1:12" ht="18.75" x14ac:dyDescent="0.3">
      <c r="A54" s="498" t="s">
        <v>1</v>
      </c>
      <c r="B54" s="499" t="s">
        <v>80</v>
      </c>
    </row>
    <row r="55" spans="1:12" ht="18.75" x14ac:dyDescent="0.3">
      <c r="A55" s="423" t="s">
        <v>81</v>
      </c>
      <c r="B55" s="500" t="str">
        <f>B21</f>
        <v>Each film coated tablet contains: Lamivudine USP 150 mg and Zidovudine USP 300 mg.</v>
      </c>
    </row>
    <row r="56" spans="1:12" ht="26.25" customHeight="1" x14ac:dyDescent="0.4">
      <c r="A56" s="501" t="s">
        <v>82</v>
      </c>
      <c r="B56" s="502">
        <v>300</v>
      </c>
      <c r="C56" s="423" t="str">
        <f>B20</f>
        <v xml:space="preserve">LAMIVUDINE  &amp; ZIDOVUDINE </v>
      </c>
      <c r="H56" s="503"/>
    </row>
    <row r="57" spans="1:12" ht="18.75" x14ac:dyDescent="0.3">
      <c r="A57" s="500" t="s">
        <v>83</v>
      </c>
      <c r="B57" s="570">
        <f>Uniformity!C46</f>
        <v>1227.5750000000003</v>
      </c>
      <c r="H57" s="503"/>
    </row>
    <row r="58" spans="1:12" ht="19.5" customHeight="1" x14ac:dyDescent="0.3">
      <c r="H58" s="503"/>
    </row>
    <row r="59" spans="1:12" s="3" customFormat="1" ht="27" customHeight="1" x14ac:dyDescent="0.4">
      <c r="A59" s="446" t="s">
        <v>84</v>
      </c>
      <c r="B59" s="447">
        <v>100</v>
      </c>
      <c r="C59" s="423"/>
      <c r="D59" s="504" t="s">
        <v>85</v>
      </c>
      <c r="E59" s="505" t="s">
        <v>57</v>
      </c>
      <c r="F59" s="505" t="s">
        <v>58</v>
      </c>
      <c r="G59" s="505" t="s">
        <v>86</v>
      </c>
      <c r="H59" s="450" t="s">
        <v>87</v>
      </c>
      <c r="L59" s="436"/>
    </row>
    <row r="60" spans="1:12" s="3" customFormat="1" ht="26.25" customHeight="1" x14ac:dyDescent="0.4">
      <c r="A60" s="448" t="s">
        <v>88</v>
      </c>
      <c r="B60" s="449">
        <v>5</v>
      </c>
      <c r="C60" s="640" t="s">
        <v>89</v>
      </c>
      <c r="D60" s="643">
        <f>Lamivudine!D60</f>
        <v>1211.8699999999999</v>
      </c>
      <c r="E60" s="506">
        <v>1</v>
      </c>
      <c r="F60" s="507">
        <v>2926242</v>
      </c>
      <c r="G60" s="571">
        <f>IF(ISBLANK(F60),"-",(F60/$D$50*$D$47*$B$68)*($B$57/$D$60))</f>
        <v>295.62557087125612</v>
      </c>
      <c r="H60" s="589">
        <f t="shared" ref="H60:H71" si="0">IF(ISBLANK(F60),"-",(G60/$B$56)*100)</f>
        <v>98.541856957085372</v>
      </c>
      <c r="L60" s="436"/>
    </row>
    <row r="61" spans="1:12" s="3" customFormat="1" ht="26.25" customHeight="1" x14ac:dyDescent="0.4">
      <c r="A61" s="448" t="s">
        <v>90</v>
      </c>
      <c r="B61" s="449">
        <v>50</v>
      </c>
      <c r="C61" s="641"/>
      <c r="D61" s="644"/>
      <c r="E61" s="508">
        <v>2</v>
      </c>
      <c r="F61" s="461">
        <v>2927055</v>
      </c>
      <c r="G61" s="572">
        <f>IF(ISBLANK(F61),"-",(F61/$D$50*$D$47*$B$68)*($B$57/$D$60))</f>
        <v>295.70770474436654</v>
      </c>
      <c r="H61" s="590">
        <f t="shared" si="0"/>
        <v>98.569234914788851</v>
      </c>
      <c r="L61" s="436"/>
    </row>
    <row r="62" spans="1:12" s="3" customFormat="1" ht="26.25" customHeight="1" x14ac:dyDescent="0.4">
      <c r="A62" s="448" t="s">
        <v>91</v>
      </c>
      <c r="B62" s="449">
        <v>1</v>
      </c>
      <c r="C62" s="641"/>
      <c r="D62" s="644"/>
      <c r="E62" s="508">
        <v>3</v>
      </c>
      <c r="F62" s="509">
        <v>2904222</v>
      </c>
      <c r="G62" s="572">
        <f>IF(ISBLANK(F62),"-",(F62/$D$50*$D$47*$B$68)*($B$57/$D$60))</f>
        <v>293.40098552575671</v>
      </c>
      <c r="H62" s="590">
        <f t="shared" si="0"/>
        <v>97.800328508585565</v>
      </c>
      <c r="L62" s="436"/>
    </row>
    <row r="63" spans="1:12" ht="27" customHeight="1" x14ac:dyDescent="0.4">
      <c r="A63" s="448" t="s">
        <v>92</v>
      </c>
      <c r="B63" s="449">
        <v>1</v>
      </c>
      <c r="C63" s="642"/>
      <c r="D63" s="645"/>
      <c r="E63" s="510">
        <v>4</v>
      </c>
      <c r="F63" s="511"/>
      <c r="G63" s="572" t="str">
        <f>IF(ISBLANK(F63),"-",(F63/$D$50*$D$47*$B$68)*($B$57/$D$60))</f>
        <v>-</v>
      </c>
      <c r="H63" s="590" t="str">
        <f t="shared" si="0"/>
        <v>-</v>
      </c>
    </row>
    <row r="64" spans="1:12" ht="26.25" customHeight="1" x14ac:dyDescent="0.4">
      <c r="A64" s="448" t="s">
        <v>93</v>
      </c>
      <c r="B64" s="449">
        <v>1</v>
      </c>
      <c r="C64" s="640" t="s">
        <v>94</v>
      </c>
      <c r="D64" s="643">
        <f>Lamivudine!D64</f>
        <v>1231.5899999999999</v>
      </c>
      <c r="E64" s="506">
        <v>1</v>
      </c>
      <c r="F64" s="507">
        <v>2959169</v>
      </c>
      <c r="G64" s="571">
        <f>IF(ISBLANK(F64),"-",(F64/$D$50*$D$47*$B$68)*($B$57/$D$64))</f>
        <v>294.16527630737198</v>
      </c>
      <c r="H64" s="589">
        <f t="shared" si="0"/>
        <v>98.055092102457337</v>
      </c>
    </row>
    <row r="65" spans="1:8" ht="26.25" customHeight="1" x14ac:dyDescent="0.4">
      <c r="A65" s="448" t="s">
        <v>95</v>
      </c>
      <c r="B65" s="449">
        <v>1</v>
      </c>
      <c r="C65" s="641"/>
      <c r="D65" s="644"/>
      <c r="E65" s="508">
        <v>2</v>
      </c>
      <c r="F65" s="461">
        <v>2962898</v>
      </c>
      <c r="G65" s="572">
        <f>IF(ISBLANK(F65),"-",(F65/$D$50*$D$47*$B$68)*($B$57/$D$64))</f>
        <v>294.53596899689069</v>
      </c>
      <c r="H65" s="590">
        <f t="shared" si="0"/>
        <v>98.178656332296896</v>
      </c>
    </row>
    <row r="66" spans="1:8" ht="26.25" customHeight="1" x14ac:dyDescent="0.4">
      <c r="A66" s="448" t="s">
        <v>96</v>
      </c>
      <c r="B66" s="449">
        <v>1</v>
      </c>
      <c r="C66" s="641"/>
      <c r="D66" s="644"/>
      <c r="E66" s="508">
        <v>3</v>
      </c>
      <c r="F66" s="461">
        <v>2961642</v>
      </c>
      <c r="G66" s="572">
        <f>IF(ISBLANK(F66),"-",(F66/$D$50*$D$47*$B$68)*($B$57/$D$64))</f>
        <v>294.41111246215337</v>
      </c>
      <c r="H66" s="590">
        <f t="shared" si="0"/>
        <v>98.137037487384461</v>
      </c>
    </row>
    <row r="67" spans="1:8" ht="27" customHeight="1" x14ac:dyDescent="0.4">
      <c r="A67" s="448" t="s">
        <v>97</v>
      </c>
      <c r="B67" s="449">
        <v>1</v>
      </c>
      <c r="C67" s="642"/>
      <c r="D67" s="645"/>
      <c r="E67" s="510">
        <v>4</v>
      </c>
      <c r="F67" s="511"/>
      <c r="G67" s="588" t="str">
        <f>IF(ISBLANK(F67),"-",(F67/$D$50*$D$47*$B$68)*($B$57/$D$64))</f>
        <v>-</v>
      </c>
      <c r="H67" s="591" t="str">
        <f t="shared" si="0"/>
        <v>-</v>
      </c>
    </row>
    <row r="68" spans="1:8" ht="26.25" customHeight="1" x14ac:dyDescent="0.4">
      <c r="A68" s="448" t="s">
        <v>98</v>
      </c>
      <c r="B68" s="512">
        <f>(B67/B66)*(B65/B64)*(B63/B62)*(B61/B60)*B59</f>
        <v>1000</v>
      </c>
      <c r="C68" s="640" t="s">
        <v>99</v>
      </c>
      <c r="D68" s="643">
        <f>Lamivudine!D68</f>
        <v>1222.44</v>
      </c>
      <c r="E68" s="506">
        <v>1</v>
      </c>
      <c r="F68" s="507">
        <v>3023310</v>
      </c>
      <c r="G68" s="571">
        <f>IF(ISBLANK(F68),"-",(F68/$D$50*$D$47*$B$68)*($B$57/$D$68))</f>
        <v>302.79097071143775</v>
      </c>
      <c r="H68" s="590">
        <f t="shared" si="0"/>
        <v>100.93032357047925</v>
      </c>
    </row>
    <row r="69" spans="1:8" ht="27" customHeight="1" x14ac:dyDescent="0.4">
      <c r="A69" s="496" t="s">
        <v>100</v>
      </c>
      <c r="B69" s="513">
        <f>(D47*B68)/B56*B57</f>
        <v>1227.5750000000003</v>
      </c>
      <c r="C69" s="641"/>
      <c r="D69" s="644"/>
      <c r="E69" s="508">
        <v>2</v>
      </c>
      <c r="F69" s="461">
        <v>3036279</v>
      </c>
      <c r="G69" s="572">
        <f>IF(ISBLANK(F69),"-",(F69/$D$50*$D$47*$B$68)*($B$57/$D$68))</f>
        <v>304.08984383366356</v>
      </c>
      <c r="H69" s="590">
        <f t="shared" si="0"/>
        <v>101.36328127788785</v>
      </c>
    </row>
    <row r="70" spans="1:8" ht="26.25" customHeight="1" x14ac:dyDescent="0.4">
      <c r="A70" s="653" t="s">
        <v>73</v>
      </c>
      <c r="B70" s="654"/>
      <c r="C70" s="641"/>
      <c r="D70" s="644"/>
      <c r="E70" s="508">
        <v>3</v>
      </c>
      <c r="F70" s="461">
        <v>3053580</v>
      </c>
      <c r="G70" s="572">
        <f>IF(ISBLANK(F70),"-",(F70/$D$50*$D$47*$B$68)*($B$57/$D$68))</f>
        <v>305.82257603257096</v>
      </c>
      <c r="H70" s="590">
        <f t="shared" si="0"/>
        <v>101.94085867752365</v>
      </c>
    </row>
    <row r="71" spans="1:8" ht="27" customHeight="1" x14ac:dyDescent="0.4">
      <c r="A71" s="655"/>
      <c r="B71" s="656"/>
      <c r="C71" s="652"/>
      <c r="D71" s="645"/>
      <c r="E71" s="510">
        <v>4</v>
      </c>
      <c r="F71" s="511"/>
      <c r="G71" s="588" t="str">
        <f>IF(ISBLANK(F71),"-",(F71/$D$50*$D$47*$B$68)*($B$57/$D$68))</f>
        <v>-</v>
      </c>
      <c r="H71" s="591" t="str">
        <f t="shared" si="0"/>
        <v>-</v>
      </c>
    </row>
    <row r="72" spans="1:8" ht="26.25" customHeight="1" x14ac:dyDescent="0.4">
      <c r="A72" s="514"/>
      <c r="B72" s="514"/>
      <c r="C72" s="514"/>
      <c r="D72" s="514"/>
      <c r="E72" s="514"/>
      <c r="F72" s="516" t="s">
        <v>66</v>
      </c>
      <c r="G72" s="577">
        <f>AVERAGE(G60:G71)</f>
        <v>297.83888994282972</v>
      </c>
      <c r="H72" s="592">
        <f>AVERAGE(H60:H71)</f>
        <v>99.279629980943241</v>
      </c>
    </row>
    <row r="73" spans="1:8" ht="26.25" customHeight="1" x14ac:dyDescent="0.4">
      <c r="C73" s="514"/>
      <c r="D73" s="514"/>
      <c r="E73" s="514"/>
      <c r="F73" s="517" t="s">
        <v>79</v>
      </c>
      <c r="G73" s="576">
        <f>STDEV(G60:G71)/G72</f>
        <v>1.647525135144666E-2</v>
      </c>
      <c r="H73" s="576">
        <f>STDEV(H60:H71)/H72</f>
        <v>1.6475251351446629E-2</v>
      </c>
    </row>
    <row r="74" spans="1:8" ht="27" customHeight="1" x14ac:dyDescent="0.4">
      <c r="A74" s="514"/>
      <c r="B74" s="514"/>
      <c r="C74" s="515"/>
      <c r="D74" s="515"/>
      <c r="E74" s="518"/>
      <c r="F74" s="519" t="s">
        <v>19</v>
      </c>
      <c r="G74" s="520">
        <f>COUNT(G60:G71)</f>
        <v>9</v>
      </c>
      <c r="H74" s="520">
        <f>COUNT(H60:H71)</f>
        <v>9</v>
      </c>
    </row>
    <row r="76" spans="1:8" ht="26.25" customHeight="1" x14ac:dyDescent="0.4">
      <c r="A76" s="432" t="s">
        <v>101</v>
      </c>
      <c r="B76" s="521" t="s">
        <v>102</v>
      </c>
      <c r="C76" s="648" t="str">
        <f>B26</f>
        <v>Zidovudine</v>
      </c>
      <c r="D76" s="648"/>
      <c r="E76" s="522" t="s">
        <v>103</v>
      </c>
      <c r="F76" s="522"/>
      <c r="G76" s="523">
        <f>H72</f>
        <v>99.279629980943241</v>
      </c>
      <c r="H76" s="524"/>
    </row>
    <row r="77" spans="1:8" ht="18.75" x14ac:dyDescent="0.3">
      <c r="A77" s="431" t="s">
        <v>104</v>
      </c>
      <c r="B77" s="431" t="s">
        <v>105</v>
      </c>
    </row>
    <row r="78" spans="1:8" ht="18.75" x14ac:dyDescent="0.3">
      <c r="A78" s="431"/>
      <c r="B78" s="431"/>
    </row>
    <row r="79" spans="1:8" ht="26.25" customHeight="1" x14ac:dyDescent="0.4">
      <c r="A79" s="432" t="s">
        <v>3</v>
      </c>
      <c r="B79" s="634" t="str">
        <f>B26</f>
        <v>Zidovudine</v>
      </c>
      <c r="C79" s="634"/>
    </row>
    <row r="80" spans="1:8" ht="26.25" customHeight="1" x14ac:dyDescent="0.4">
      <c r="A80" s="433" t="s">
        <v>43</v>
      </c>
      <c r="B80" s="634" t="str">
        <f>B27</f>
        <v>USP</v>
      </c>
      <c r="C80" s="634"/>
    </row>
    <row r="81" spans="1:12" ht="27" customHeight="1" x14ac:dyDescent="0.4">
      <c r="A81" s="433" t="s">
        <v>5</v>
      </c>
      <c r="B81" s="525">
        <f>B28</f>
        <v>99</v>
      </c>
    </row>
    <row r="82" spans="1:12" s="3" customFormat="1" ht="27" customHeight="1" x14ac:dyDescent="0.4">
      <c r="A82" s="433" t="s">
        <v>44</v>
      </c>
      <c r="B82" s="435">
        <v>0</v>
      </c>
      <c r="C82" s="625" t="s">
        <v>45</v>
      </c>
      <c r="D82" s="626"/>
      <c r="E82" s="626"/>
      <c r="F82" s="626"/>
      <c r="G82" s="627"/>
      <c r="I82" s="436"/>
      <c r="J82" s="436"/>
      <c r="K82" s="436"/>
      <c r="L82" s="436"/>
    </row>
    <row r="83" spans="1:12" s="3" customFormat="1" ht="19.5" customHeight="1" x14ac:dyDescent="0.3">
      <c r="A83" s="433" t="s">
        <v>46</v>
      </c>
      <c r="B83" s="437">
        <f>B81-B82</f>
        <v>99</v>
      </c>
      <c r="C83" s="438"/>
      <c r="D83" s="438"/>
      <c r="E83" s="438"/>
      <c r="F83" s="438"/>
      <c r="G83" s="439"/>
      <c r="I83" s="436"/>
      <c r="J83" s="436"/>
      <c r="K83" s="436"/>
      <c r="L83" s="436"/>
    </row>
    <row r="84" spans="1:12" s="3" customFormat="1" ht="27" customHeight="1" x14ac:dyDescent="0.4">
      <c r="A84" s="433" t="s">
        <v>47</v>
      </c>
      <c r="B84" s="440">
        <v>1</v>
      </c>
      <c r="C84" s="628" t="s">
        <v>106</v>
      </c>
      <c r="D84" s="629"/>
      <c r="E84" s="629"/>
      <c r="F84" s="629"/>
      <c r="G84" s="629"/>
      <c r="H84" s="630"/>
      <c r="I84" s="436"/>
      <c r="J84" s="436"/>
      <c r="K84" s="436"/>
      <c r="L84" s="436"/>
    </row>
    <row r="85" spans="1:12" s="3" customFormat="1" ht="27" customHeight="1" x14ac:dyDescent="0.4">
      <c r="A85" s="433" t="s">
        <v>49</v>
      </c>
      <c r="B85" s="440">
        <v>1</v>
      </c>
      <c r="C85" s="628" t="s">
        <v>107</v>
      </c>
      <c r="D85" s="629"/>
      <c r="E85" s="629"/>
      <c r="F85" s="629"/>
      <c r="G85" s="629"/>
      <c r="H85" s="630"/>
      <c r="I85" s="436"/>
      <c r="J85" s="436"/>
      <c r="K85" s="436"/>
      <c r="L85" s="436"/>
    </row>
    <row r="86" spans="1:12" s="3" customFormat="1" ht="18.75" x14ac:dyDescent="0.3">
      <c r="A86" s="433"/>
      <c r="B86" s="443"/>
      <c r="C86" s="444"/>
      <c r="D86" s="444"/>
      <c r="E86" s="444"/>
      <c r="F86" s="444"/>
      <c r="G86" s="444"/>
      <c r="H86" s="444"/>
      <c r="I86" s="436"/>
      <c r="J86" s="436"/>
      <c r="K86" s="436"/>
      <c r="L86" s="436"/>
    </row>
    <row r="87" spans="1:12" s="3" customFormat="1" ht="18.75" x14ac:dyDescent="0.3">
      <c r="A87" s="433" t="s">
        <v>51</v>
      </c>
      <c r="B87" s="445">
        <f>B84/B85</f>
        <v>1</v>
      </c>
      <c r="C87" s="423" t="s">
        <v>52</v>
      </c>
      <c r="D87" s="423"/>
      <c r="E87" s="423"/>
      <c r="F87" s="423"/>
      <c r="G87" s="423"/>
      <c r="I87" s="436"/>
      <c r="J87" s="436"/>
      <c r="K87" s="436"/>
      <c r="L87" s="436"/>
    </row>
    <row r="88" spans="1:12" ht="19.5" customHeight="1" x14ac:dyDescent="0.3">
      <c r="A88" s="431"/>
      <c r="B88" s="431"/>
    </row>
    <row r="89" spans="1:12" ht="27" customHeight="1" x14ac:dyDescent="0.4">
      <c r="A89" s="446" t="s">
        <v>53</v>
      </c>
      <c r="B89" s="447">
        <v>10</v>
      </c>
      <c r="D89" s="526" t="s">
        <v>54</v>
      </c>
      <c r="E89" s="527"/>
      <c r="F89" s="631" t="s">
        <v>55</v>
      </c>
      <c r="G89" s="633"/>
    </row>
    <row r="90" spans="1:12" ht="27" customHeight="1" x14ac:dyDescent="0.4">
      <c r="A90" s="448" t="s">
        <v>56</v>
      </c>
      <c r="B90" s="449">
        <v>4</v>
      </c>
      <c r="C90" s="528" t="s">
        <v>57</v>
      </c>
      <c r="D90" s="451" t="s">
        <v>58</v>
      </c>
      <c r="E90" s="452" t="s">
        <v>59</v>
      </c>
      <c r="F90" s="451" t="s">
        <v>58</v>
      </c>
      <c r="G90" s="529" t="s">
        <v>59</v>
      </c>
      <c r="I90" s="454" t="s">
        <v>60</v>
      </c>
    </row>
    <row r="91" spans="1:12" ht="26.25" customHeight="1" x14ac:dyDescent="0.4">
      <c r="A91" s="448" t="s">
        <v>61</v>
      </c>
      <c r="B91" s="449">
        <v>25</v>
      </c>
      <c r="C91" s="530">
        <v>1</v>
      </c>
      <c r="D91" s="456"/>
      <c r="E91" s="457" t="str">
        <f>IF(ISBLANK(D91),"-",$D$101/$D$98*D91)</f>
        <v>-</v>
      </c>
      <c r="F91" s="456">
        <v>2287803</v>
      </c>
      <c r="G91" s="458">
        <f>IF(ISBLANK(F91),"-",$D$101/$F$98*F91)</f>
        <v>3345656.8815324889</v>
      </c>
      <c r="I91" s="459"/>
    </row>
    <row r="92" spans="1:12" ht="26.25" customHeight="1" x14ac:dyDescent="0.4">
      <c r="A92" s="448" t="s">
        <v>62</v>
      </c>
      <c r="B92" s="449">
        <v>1</v>
      </c>
      <c r="C92" s="515">
        <v>2</v>
      </c>
      <c r="D92" s="461">
        <v>2356464</v>
      </c>
      <c r="E92" s="462">
        <f>IF(ISBLANK(D92),"-",$D$101/$D$98*D92)</f>
        <v>3339319.1170968949</v>
      </c>
      <c r="F92" s="461">
        <v>2286533</v>
      </c>
      <c r="G92" s="463">
        <f>IF(ISBLANK(F92),"-",$D$101/$F$98*F92)</f>
        <v>3343799.6480908222</v>
      </c>
      <c r="I92" s="635">
        <f>ABS((F96/D96*D95)-F95)/D95</f>
        <v>1.1944613379318598E-3</v>
      </c>
    </row>
    <row r="93" spans="1:12" ht="26.25" customHeight="1" x14ac:dyDescent="0.4">
      <c r="A93" s="448" t="s">
        <v>63</v>
      </c>
      <c r="B93" s="449">
        <v>1</v>
      </c>
      <c r="C93" s="515">
        <v>3</v>
      </c>
      <c r="D93" s="461">
        <v>2357115</v>
      </c>
      <c r="E93" s="462">
        <f>IF(ISBLANK(D93),"-",$D$101/$D$98*D93)</f>
        <v>3340241.6420093188</v>
      </c>
      <c r="F93" s="461">
        <v>2285463</v>
      </c>
      <c r="G93" s="463">
        <f>IF(ISBLANK(F93),"-",$D$101/$F$98*F93)</f>
        <v>3342234.8923565042</v>
      </c>
      <c r="I93" s="635"/>
    </row>
    <row r="94" spans="1:12" ht="27" customHeight="1" x14ac:dyDescent="0.4">
      <c r="A94" s="448" t="s">
        <v>64</v>
      </c>
      <c r="B94" s="449">
        <v>1</v>
      </c>
      <c r="C94" s="531">
        <v>4</v>
      </c>
      <c r="D94" s="466"/>
      <c r="E94" s="467" t="str">
        <f>IF(ISBLANK(D94),"-",$D$101/$D$98*D94)</f>
        <v>-</v>
      </c>
      <c r="F94" s="466"/>
      <c r="G94" s="468" t="str">
        <f>IF(ISBLANK(F94),"-",$D$101/$F$98*F94)</f>
        <v>-</v>
      </c>
      <c r="I94" s="469"/>
    </row>
    <row r="95" spans="1:12" ht="27" customHeight="1" x14ac:dyDescent="0.4">
      <c r="A95" s="448" t="s">
        <v>65</v>
      </c>
      <c r="B95" s="449">
        <v>1</v>
      </c>
      <c r="C95" s="532" t="s">
        <v>66</v>
      </c>
      <c r="D95" s="533">
        <f>AVERAGE(D91:D94)</f>
        <v>2356789.5</v>
      </c>
      <c r="E95" s="472">
        <f>AVERAGE(E91:E94)</f>
        <v>3339780.3795531066</v>
      </c>
      <c r="F95" s="534">
        <f>AVERAGE(F91:F94)</f>
        <v>2286599.6666666665</v>
      </c>
      <c r="G95" s="535">
        <f>AVERAGE(G91:G94)</f>
        <v>3343897.1406599381</v>
      </c>
    </row>
    <row r="96" spans="1:12" ht="26.25" customHeight="1" x14ac:dyDescent="0.4">
      <c r="A96" s="448" t="s">
        <v>67</v>
      </c>
      <c r="B96" s="434">
        <v>1</v>
      </c>
      <c r="C96" s="536" t="s">
        <v>108</v>
      </c>
      <c r="D96" s="537">
        <f>D43</f>
        <v>14.85</v>
      </c>
      <c r="E96" s="464"/>
      <c r="F96" s="476">
        <f>F43</f>
        <v>14.39</v>
      </c>
    </row>
    <row r="97" spans="1:10" ht="26.25" customHeight="1" x14ac:dyDescent="0.4">
      <c r="A97" s="448" t="s">
        <v>69</v>
      </c>
      <c r="B97" s="434">
        <v>1</v>
      </c>
      <c r="C97" s="538" t="s">
        <v>109</v>
      </c>
      <c r="D97" s="539">
        <f>D96*$B$87</f>
        <v>14.85</v>
      </c>
      <c r="E97" s="479"/>
      <c r="F97" s="478">
        <f>F96*$B$87</f>
        <v>14.39</v>
      </c>
    </row>
    <row r="98" spans="1:10" ht="19.5" customHeight="1" x14ac:dyDescent="0.3">
      <c r="A98" s="448" t="s">
        <v>71</v>
      </c>
      <c r="B98" s="540">
        <f>(B97/B96)*(B95/B94)*(B93/B92)*(B91/B90)*B89</f>
        <v>62.5</v>
      </c>
      <c r="C98" s="538" t="s">
        <v>110</v>
      </c>
      <c r="D98" s="541">
        <f>D97*$B$83/100</f>
        <v>14.701499999999999</v>
      </c>
      <c r="E98" s="482"/>
      <c r="F98" s="481">
        <f>F97*$B$83/100</f>
        <v>14.246100000000002</v>
      </c>
    </row>
    <row r="99" spans="1:10" ht="19.5" customHeight="1" x14ac:dyDescent="0.3">
      <c r="A99" s="636" t="s">
        <v>73</v>
      </c>
      <c r="B99" s="650"/>
      <c r="C99" s="538" t="s">
        <v>111</v>
      </c>
      <c r="D99" s="542">
        <f>D98/$B$98</f>
        <v>0.23522399999999999</v>
      </c>
      <c r="E99" s="482"/>
      <c r="F99" s="485">
        <f>F98/$B$98</f>
        <v>0.22793760000000002</v>
      </c>
      <c r="G99" s="543"/>
      <c r="H99" s="474"/>
    </row>
    <row r="100" spans="1:10" ht="19.5" customHeight="1" x14ac:dyDescent="0.3">
      <c r="A100" s="638"/>
      <c r="B100" s="651"/>
      <c r="C100" s="538" t="s">
        <v>75</v>
      </c>
      <c r="D100" s="544">
        <f>$B$56/$B$116</f>
        <v>0.33333333333333331</v>
      </c>
      <c r="F100" s="490"/>
      <c r="G100" s="545"/>
      <c r="H100" s="474"/>
    </row>
    <row r="101" spans="1:10" ht="18.75" x14ac:dyDescent="0.3">
      <c r="C101" s="538" t="s">
        <v>76</v>
      </c>
      <c r="D101" s="539">
        <f>D100*$B$98</f>
        <v>20.833333333333332</v>
      </c>
      <c r="F101" s="490"/>
      <c r="G101" s="543"/>
      <c r="H101" s="474"/>
    </row>
    <row r="102" spans="1:10" ht="19.5" customHeight="1" x14ac:dyDescent="0.3">
      <c r="C102" s="546" t="s">
        <v>77</v>
      </c>
      <c r="D102" s="547">
        <f>D101/B34</f>
        <v>20.833333333333332</v>
      </c>
      <c r="F102" s="494"/>
      <c r="G102" s="543"/>
      <c r="H102" s="474"/>
      <c r="J102" s="548"/>
    </row>
    <row r="103" spans="1:10" ht="18.75" x14ac:dyDescent="0.3">
      <c r="C103" s="549" t="s">
        <v>112</v>
      </c>
      <c r="D103" s="550">
        <f>AVERAGE(E91:E94,G91:G94)</f>
        <v>3342250.4362172056</v>
      </c>
      <c r="F103" s="494"/>
      <c r="G103" s="551"/>
      <c r="H103" s="474"/>
      <c r="J103" s="552"/>
    </row>
    <row r="104" spans="1:10" ht="18.75" x14ac:dyDescent="0.3">
      <c r="C104" s="517" t="s">
        <v>79</v>
      </c>
      <c r="D104" s="553">
        <f>STDEV(E91:E94,G91:G94)/D103</f>
        <v>7.7202853500015866E-4</v>
      </c>
      <c r="F104" s="494"/>
      <c r="G104" s="543"/>
      <c r="H104" s="474"/>
      <c r="J104" s="552"/>
    </row>
    <row r="105" spans="1:10" ht="19.5" customHeight="1" x14ac:dyDescent="0.3">
      <c r="C105" s="519" t="s">
        <v>19</v>
      </c>
      <c r="D105" s="554">
        <f>COUNT(E91:E94,G91:G94)</f>
        <v>5</v>
      </c>
      <c r="F105" s="494"/>
      <c r="G105" s="543"/>
      <c r="H105" s="474"/>
      <c r="J105" s="552"/>
    </row>
    <row r="106" spans="1:10" ht="19.5" customHeight="1" x14ac:dyDescent="0.3">
      <c r="A106" s="498"/>
      <c r="B106" s="498"/>
      <c r="C106" s="498"/>
      <c r="D106" s="498"/>
      <c r="E106" s="498"/>
    </row>
    <row r="107" spans="1:10" ht="27" customHeight="1" x14ac:dyDescent="0.4">
      <c r="A107" s="446" t="s">
        <v>113</v>
      </c>
      <c r="B107" s="447">
        <v>900</v>
      </c>
      <c r="C107" s="593" t="s">
        <v>114</v>
      </c>
      <c r="D107" s="593" t="s">
        <v>58</v>
      </c>
      <c r="E107" s="593" t="s">
        <v>115</v>
      </c>
      <c r="F107" s="555" t="s">
        <v>116</v>
      </c>
    </row>
    <row r="108" spans="1:10" ht="26.25" customHeight="1" x14ac:dyDescent="0.4">
      <c r="A108" s="448" t="s">
        <v>117</v>
      </c>
      <c r="B108" s="449">
        <v>1</v>
      </c>
      <c r="C108" s="598">
        <v>1</v>
      </c>
      <c r="D108" s="599">
        <v>3202136</v>
      </c>
      <c r="E108" s="573">
        <f t="shared" ref="E108:E113" si="1">IF(ISBLANK(D108),"-",D108/$D$103*$D$100*$B$116)</f>
        <v>287.42334493858675</v>
      </c>
      <c r="F108" s="600">
        <f t="shared" ref="F108:F113" si="2">IF(ISBLANK(D108), "-", (E108/$B$56)*100)</f>
        <v>95.807781646195593</v>
      </c>
    </row>
    <row r="109" spans="1:10" ht="26.25" customHeight="1" x14ac:dyDescent="0.4">
      <c r="A109" s="448" t="s">
        <v>90</v>
      </c>
      <c r="B109" s="449">
        <v>1</v>
      </c>
      <c r="C109" s="594">
        <v>2</v>
      </c>
      <c r="D109" s="596">
        <v>3195253</v>
      </c>
      <c r="E109" s="574">
        <f t="shared" si="1"/>
        <v>286.80552768060261</v>
      </c>
      <c r="F109" s="601">
        <f t="shared" si="2"/>
        <v>95.601842560200865</v>
      </c>
    </row>
    <row r="110" spans="1:10" ht="26.25" customHeight="1" x14ac:dyDescent="0.4">
      <c r="A110" s="448" t="s">
        <v>91</v>
      </c>
      <c r="B110" s="449">
        <v>1</v>
      </c>
      <c r="C110" s="594">
        <v>3</v>
      </c>
      <c r="D110" s="596">
        <v>3204872</v>
      </c>
      <c r="E110" s="574">
        <f t="shared" si="1"/>
        <v>287.66892797183453</v>
      </c>
      <c r="F110" s="601">
        <f t="shared" si="2"/>
        <v>95.889642657278173</v>
      </c>
    </row>
    <row r="111" spans="1:10" ht="26.25" customHeight="1" x14ac:dyDescent="0.4">
      <c r="A111" s="448" t="s">
        <v>92</v>
      </c>
      <c r="B111" s="449">
        <v>1</v>
      </c>
      <c r="C111" s="594">
        <v>4</v>
      </c>
      <c r="D111" s="596">
        <v>3196030</v>
      </c>
      <c r="E111" s="574">
        <f t="shared" si="1"/>
        <v>286.87527110780786</v>
      </c>
      <c r="F111" s="601">
        <f t="shared" si="2"/>
        <v>95.625090369269287</v>
      </c>
    </row>
    <row r="112" spans="1:10" ht="26.25" customHeight="1" x14ac:dyDescent="0.4">
      <c r="A112" s="448" t="s">
        <v>93</v>
      </c>
      <c r="B112" s="449">
        <v>1</v>
      </c>
      <c r="C112" s="594">
        <v>5</v>
      </c>
      <c r="D112" s="596">
        <v>3205541</v>
      </c>
      <c r="E112" s="574">
        <f t="shared" si="1"/>
        <v>287.72897733193793</v>
      </c>
      <c r="F112" s="601">
        <f t="shared" si="2"/>
        <v>95.909659110645975</v>
      </c>
    </row>
    <row r="113" spans="1:10" ht="27" customHeight="1" x14ac:dyDescent="0.4">
      <c r="A113" s="448" t="s">
        <v>95</v>
      </c>
      <c r="B113" s="449">
        <v>1</v>
      </c>
      <c r="C113" s="595">
        <v>6</v>
      </c>
      <c r="D113" s="597">
        <v>3196749</v>
      </c>
      <c r="E113" s="575">
        <f t="shared" si="1"/>
        <v>286.93980846193989</v>
      </c>
      <c r="F113" s="602">
        <f t="shared" si="2"/>
        <v>95.646602820646635</v>
      </c>
    </row>
    <row r="114" spans="1:10" ht="27" customHeight="1" x14ac:dyDescent="0.4">
      <c r="A114" s="448" t="s">
        <v>96</v>
      </c>
      <c r="B114" s="449">
        <v>1</v>
      </c>
      <c r="C114" s="556"/>
      <c r="D114" s="515"/>
      <c r="E114" s="422"/>
      <c r="F114" s="603"/>
    </row>
    <row r="115" spans="1:10" ht="26.25" customHeight="1" x14ac:dyDescent="0.4">
      <c r="A115" s="448" t="s">
        <v>97</v>
      </c>
      <c r="B115" s="449">
        <v>1</v>
      </c>
      <c r="C115" s="556"/>
      <c r="D115" s="580" t="s">
        <v>66</v>
      </c>
      <c r="E115" s="582">
        <f>AVERAGE(E108:E113)</f>
        <v>287.2403095821183</v>
      </c>
      <c r="F115" s="604">
        <f>AVERAGE(F108:F113)</f>
        <v>95.746769860706081</v>
      </c>
    </row>
    <row r="116" spans="1:10" ht="27" customHeight="1" x14ac:dyDescent="0.4">
      <c r="A116" s="448" t="s">
        <v>98</v>
      </c>
      <c r="B116" s="480">
        <f>(B115/B114)*(B113/B112)*(B111/B110)*(B109/B108)*B107</f>
        <v>900</v>
      </c>
      <c r="C116" s="557"/>
      <c r="D116" s="581" t="s">
        <v>79</v>
      </c>
      <c r="E116" s="579">
        <f>STDEV(E108:E113)/E115</f>
        <v>1.4510414257565903E-3</v>
      </c>
      <c r="F116" s="558">
        <f>STDEV(F108:F113)/F115</f>
        <v>1.4510414257565922E-3</v>
      </c>
      <c r="I116" s="422"/>
    </row>
    <row r="117" spans="1:10" ht="27" customHeight="1" x14ac:dyDescent="0.4">
      <c r="A117" s="636" t="s">
        <v>73</v>
      </c>
      <c r="B117" s="637"/>
      <c r="C117" s="559"/>
      <c r="D117" s="519" t="s">
        <v>19</v>
      </c>
      <c r="E117" s="584">
        <f>COUNT(E108:E113)</f>
        <v>6</v>
      </c>
      <c r="F117" s="585">
        <f>COUNT(F108:F113)</f>
        <v>6</v>
      </c>
      <c r="I117" s="422"/>
      <c r="J117" s="552"/>
    </row>
    <row r="118" spans="1:10" ht="26.25" customHeight="1" x14ac:dyDescent="0.3">
      <c r="A118" s="638"/>
      <c r="B118" s="639"/>
      <c r="C118" s="422"/>
      <c r="D118" s="583"/>
      <c r="E118" s="616" t="s">
        <v>118</v>
      </c>
      <c r="F118" s="617"/>
      <c r="G118" s="422"/>
      <c r="H118" s="422"/>
      <c r="I118" s="422"/>
    </row>
    <row r="119" spans="1:10" ht="25.5" customHeight="1" x14ac:dyDescent="0.4">
      <c r="A119" s="568"/>
      <c r="B119" s="444"/>
      <c r="C119" s="422"/>
      <c r="D119" s="581" t="s">
        <v>119</v>
      </c>
      <c r="E119" s="586">
        <f>MIN(E108:E113)</f>
        <v>286.80552768060261</v>
      </c>
      <c r="F119" s="605">
        <f>MIN(F108:F113)</f>
        <v>95.601842560200865</v>
      </c>
      <c r="G119" s="422"/>
      <c r="H119" s="422"/>
      <c r="I119" s="422"/>
    </row>
    <row r="120" spans="1:10" ht="24" customHeight="1" x14ac:dyDescent="0.4">
      <c r="A120" s="568"/>
      <c r="B120" s="444"/>
      <c r="C120" s="422"/>
      <c r="D120" s="491" t="s">
        <v>120</v>
      </c>
      <c r="E120" s="587">
        <f>MAX(E108:E113)</f>
        <v>287.72897733193793</v>
      </c>
      <c r="F120" s="606">
        <f>MAX(F108:F113)</f>
        <v>95.909659110645975</v>
      </c>
      <c r="G120" s="422"/>
      <c r="H120" s="422"/>
      <c r="I120" s="422"/>
    </row>
    <row r="121" spans="1:10" ht="27" customHeight="1" x14ac:dyDescent="0.3">
      <c r="A121" s="568"/>
      <c r="B121" s="444"/>
      <c r="C121" s="422"/>
      <c r="D121" s="422"/>
      <c r="E121" s="422"/>
      <c r="F121" s="515"/>
      <c r="G121" s="422"/>
      <c r="H121" s="422"/>
      <c r="I121" s="422"/>
    </row>
    <row r="122" spans="1:10" ht="25.5" customHeight="1" x14ac:dyDescent="0.3">
      <c r="A122" s="568"/>
      <c r="B122" s="444"/>
      <c r="C122" s="422"/>
      <c r="D122" s="422"/>
      <c r="E122" s="422"/>
      <c r="F122" s="515"/>
      <c r="G122" s="422"/>
      <c r="H122" s="422"/>
      <c r="I122" s="422"/>
    </row>
    <row r="123" spans="1:10" ht="18.75" x14ac:dyDescent="0.3">
      <c r="A123" s="568"/>
      <c r="B123" s="444"/>
      <c r="C123" s="422"/>
      <c r="D123" s="422"/>
      <c r="E123" s="422"/>
      <c r="F123" s="515"/>
      <c r="G123" s="422"/>
      <c r="H123" s="422"/>
      <c r="I123" s="422"/>
    </row>
    <row r="124" spans="1:10" ht="45.75" customHeight="1" x14ac:dyDescent="0.65">
      <c r="A124" s="432" t="s">
        <v>101</v>
      </c>
      <c r="B124" s="521" t="s">
        <v>121</v>
      </c>
      <c r="C124" s="648" t="str">
        <f>B26</f>
        <v>Zidovudine</v>
      </c>
      <c r="D124" s="648"/>
      <c r="E124" s="522" t="s">
        <v>122</v>
      </c>
      <c r="F124" s="522"/>
      <c r="G124" s="607">
        <f>F115</f>
        <v>95.746769860706081</v>
      </c>
      <c r="H124" s="422"/>
      <c r="I124" s="422"/>
    </row>
    <row r="125" spans="1:10" ht="45.75" customHeight="1" x14ac:dyDescent="0.65">
      <c r="A125" s="432"/>
      <c r="B125" s="521" t="s">
        <v>123</v>
      </c>
      <c r="C125" s="433" t="s">
        <v>124</v>
      </c>
      <c r="D125" s="607">
        <f>MIN(F108:F113)</f>
        <v>95.601842560200865</v>
      </c>
      <c r="E125" s="532" t="s">
        <v>125</v>
      </c>
      <c r="F125" s="607">
        <f>MAX(F108:F113)</f>
        <v>95.909659110645975</v>
      </c>
      <c r="G125" s="523"/>
      <c r="H125" s="422"/>
      <c r="I125" s="422"/>
    </row>
    <row r="126" spans="1:10" ht="19.5" customHeight="1" x14ac:dyDescent="0.3">
      <c r="A126" s="560"/>
      <c r="B126" s="560"/>
      <c r="C126" s="561"/>
      <c r="D126" s="561"/>
      <c r="E126" s="561"/>
      <c r="F126" s="561"/>
      <c r="G126" s="561"/>
      <c r="H126" s="561"/>
    </row>
    <row r="127" spans="1:10" ht="18.75" x14ac:dyDescent="0.3">
      <c r="B127" s="649" t="s">
        <v>21</v>
      </c>
      <c r="C127" s="649"/>
      <c r="E127" s="528" t="s">
        <v>22</v>
      </c>
      <c r="F127" s="562"/>
      <c r="G127" s="649" t="s">
        <v>23</v>
      </c>
      <c r="H127" s="649"/>
    </row>
    <row r="128" spans="1:10" ht="69.95" customHeight="1" x14ac:dyDescent="0.3">
      <c r="A128" s="563" t="s">
        <v>24</v>
      </c>
      <c r="B128" s="564"/>
      <c r="C128" s="564"/>
      <c r="E128" s="564"/>
      <c r="F128" s="422"/>
      <c r="G128" s="565"/>
      <c r="H128" s="565"/>
    </row>
    <row r="129" spans="1:9" ht="69.95" customHeight="1" x14ac:dyDescent="0.3">
      <c r="A129" s="563" t="s">
        <v>25</v>
      </c>
      <c r="B129" s="566"/>
      <c r="C129" s="566"/>
      <c r="E129" s="566"/>
      <c r="F129" s="422"/>
      <c r="G129" s="567"/>
      <c r="H129" s="567"/>
    </row>
    <row r="130" spans="1:9" ht="18.75" x14ac:dyDescent="0.3">
      <c r="A130" s="514"/>
      <c r="B130" s="514"/>
      <c r="C130" s="515"/>
      <c r="D130" s="515"/>
      <c r="E130" s="515"/>
      <c r="F130" s="518"/>
      <c r="G130" s="515"/>
      <c r="H130" s="515"/>
      <c r="I130" s="422"/>
    </row>
    <row r="131" spans="1:9" ht="18.75" x14ac:dyDescent="0.3">
      <c r="A131" s="514"/>
      <c r="B131" s="514"/>
      <c r="C131" s="515"/>
      <c r="D131" s="515"/>
      <c r="E131" s="515"/>
      <c r="F131" s="518"/>
      <c r="G131" s="515"/>
      <c r="H131" s="515"/>
      <c r="I131" s="422"/>
    </row>
    <row r="132" spans="1:9" ht="18.75" x14ac:dyDescent="0.3">
      <c r="A132" s="514"/>
      <c r="B132" s="514"/>
      <c r="C132" s="515"/>
      <c r="D132" s="515"/>
      <c r="E132" s="515"/>
      <c r="F132" s="518"/>
      <c r="G132" s="515"/>
      <c r="H132" s="515"/>
      <c r="I132" s="422"/>
    </row>
    <row r="133" spans="1:9" ht="18.75" x14ac:dyDescent="0.3">
      <c r="A133" s="514"/>
      <c r="B133" s="514"/>
      <c r="C133" s="515"/>
      <c r="D133" s="515"/>
      <c r="E133" s="515"/>
      <c r="F133" s="518"/>
      <c r="G133" s="515"/>
      <c r="H133" s="515"/>
      <c r="I133" s="422"/>
    </row>
    <row r="134" spans="1:9" ht="18.75" x14ac:dyDescent="0.3">
      <c r="A134" s="514"/>
      <c r="B134" s="514"/>
      <c r="C134" s="515"/>
      <c r="D134" s="515"/>
      <c r="E134" s="515"/>
      <c r="F134" s="518"/>
      <c r="G134" s="515"/>
      <c r="H134" s="515"/>
      <c r="I134" s="422"/>
    </row>
    <row r="135" spans="1:9" ht="18.75" x14ac:dyDescent="0.3">
      <c r="A135" s="514"/>
      <c r="B135" s="514"/>
      <c r="C135" s="515"/>
      <c r="D135" s="515"/>
      <c r="E135" s="515"/>
      <c r="F135" s="518"/>
      <c r="G135" s="515"/>
      <c r="H135" s="515"/>
      <c r="I135" s="422"/>
    </row>
    <row r="136" spans="1:9" ht="18.75" x14ac:dyDescent="0.3">
      <c r="A136" s="514"/>
      <c r="B136" s="514"/>
      <c r="C136" s="515"/>
      <c r="D136" s="515"/>
      <c r="E136" s="515"/>
      <c r="F136" s="518"/>
      <c r="G136" s="515"/>
      <c r="H136" s="515"/>
      <c r="I136" s="422"/>
    </row>
    <row r="137" spans="1:9" ht="18.75" x14ac:dyDescent="0.3">
      <c r="A137" s="514"/>
      <c r="B137" s="514"/>
      <c r="C137" s="515"/>
      <c r="D137" s="515"/>
      <c r="E137" s="515"/>
      <c r="F137" s="518"/>
      <c r="G137" s="515"/>
      <c r="H137" s="515"/>
      <c r="I137" s="422"/>
    </row>
    <row r="138" spans="1:9" ht="18.75" x14ac:dyDescent="0.3">
      <c r="A138" s="514"/>
      <c r="B138" s="514"/>
      <c r="C138" s="515"/>
      <c r="D138" s="515"/>
      <c r="E138" s="515"/>
      <c r="F138" s="518"/>
      <c r="G138" s="515"/>
      <c r="H138" s="515"/>
      <c r="I138" s="42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2" zoomScale="50" zoomScaleNormal="40" zoomScaleSheetLayoutView="50" zoomScalePageLayoutView="55" workbookViewId="0">
      <selection activeCell="D68" sqref="D68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46" t="s">
        <v>40</v>
      </c>
      <c r="B1" s="646"/>
      <c r="C1" s="646"/>
      <c r="D1" s="646"/>
      <c r="E1" s="646"/>
      <c r="F1" s="646"/>
      <c r="G1" s="646"/>
      <c r="H1" s="646"/>
      <c r="I1" s="646"/>
    </row>
    <row r="2" spans="1:9" ht="18.75" customHeight="1" x14ac:dyDescent="0.25">
      <c r="A2" s="646"/>
      <c r="B2" s="646"/>
      <c r="C2" s="646"/>
      <c r="D2" s="646"/>
      <c r="E2" s="646"/>
      <c r="F2" s="646"/>
      <c r="G2" s="646"/>
      <c r="H2" s="646"/>
      <c r="I2" s="646"/>
    </row>
    <row r="3" spans="1:9" ht="18.75" customHeight="1" x14ac:dyDescent="0.25">
      <c r="A3" s="646"/>
      <c r="B3" s="646"/>
      <c r="C3" s="646"/>
      <c r="D3" s="646"/>
      <c r="E3" s="646"/>
      <c r="F3" s="646"/>
      <c r="G3" s="646"/>
      <c r="H3" s="646"/>
      <c r="I3" s="646"/>
    </row>
    <row r="4" spans="1:9" ht="18.75" customHeight="1" x14ac:dyDescent="0.25">
      <c r="A4" s="646"/>
      <c r="B4" s="646"/>
      <c r="C4" s="646"/>
      <c r="D4" s="646"/>
      <c r="E4" s="646"/>
      <c r="F4" s="646"/>
      <c r="G4" s="646"/>
      <c r="H4" s="646"/>
      <c r="I4" s="646"/>
    </row>
    <row r="5" spans="1:9" ht="18.75" customHeight="1" x14ac:dyDescent="0.25">
      <c r="A5" s="646"/>
      <c r="B5" s="646"/>
      <c r="C5" s="646"/>
      <c r="D5" s="646"/>
      <c r="E5" s="646"/>
      <c r="F5" s="646"/>
      <c r="G5" s="646"/>
      <c r="H5" s="646"/>
      <c r="I5" s="646"/>
    </row>
    <row r="6" spans="1:9" ht="18.75" customHeight="1" x14ac:dyDescent="0.25">
      <c r="A6" s="646"/>
      <c r="B6" s="646"/>
      <c r="C6" s="646"/>
      <c r="D6" s="646"/>
      <c r="E6" s="646"/>
      <c r="F6" s="646"/>
      <c r="G6" s="646"/>
      <c r="H6" s="646"/>
      <c r="I6" s="646"/>
    </row>
    <row r="7" spans="1:9" ht="18.75" customHeight="1" x14ac:dyDescent="0.25">
      <c r="A7" s="646"/>
      <c r="B7" s="646"/>
      <c r="C7" s="646"/>
      <c r="D7" s="646"/>
      <c r="E7" s="646"/>
      <c r="F7" s="646"/>
      <c r="G7" s="646"/>
      <c r="H7" s="646"/>
      <c r="I7" s="646"/>
    </row>
    <row r="8" spans="1:9" x14ac:dyDescent="0.25">
      <c r="A8" s="647" t="s">
        <v>41</v>
      </c>
      <c r="B8" s="647"/>
      <c r="C8" s="647"/>
      <c r="D8" s="647"/>
      <c r="E8" s="647"/>
      <c r="F8" s="647"/>
      <c r="G8" s="647"/>
      <c r="H8" s="647"/>
      <c r="I8" s="647"/>
    </row>
    <row r="9" spans="1:9" x14ac:dyDescent="0.25">
      <c r="A9" s="647"/>
      <c r="B9" s="647"/>
      <c r="C9" s="647"/>
      <c r="D9" s="647"/>
      <c r="E9" s="647"/>
      <c r="F9" s="647"/>
      <c r="G9" s="647"/>
      <c r="H9" s="647"/>
      <c r="I9" s="647"/>
    </row>
    <row r="10" spans="1:9" x14ac:dyDescent="0.25">
      <c r="A10" s="647"/>
      <c r="B10" s="647"/>
      <c r="C10" s="647"/>
      <c r="D10" s="647"/>
      <c r="E10" s="647"/>
      <c r="F10" s="647"/>
      <c r="G10" s="647"/>
      <c r="H10" s="647"/>
      <c r="I10" s="647"/>
    </row>
    <row r="11" spans="1:9" x14ac:dyDescent="0.25">
      <c r="A11" s="647"/>
      <c r="B11" s="647"/>
      <c r="C11" s="647"/>
      <c r="D11" s="647"/>
      <c r="E11" s="647"/>
      <c r="F11" s="647"/>
      <c r="G11" s="647"/>
      <c r="H11" s="647"/>
      <c r="I11" s="647"/>
    </row>
    <row r="12" spans="1:9" x14ac:dyDescent="0.25">
      <c r="A12" s="647"/>
      <c r="B12" s="647"/>
      <c r="C12" s="647"/>
      <c r="D12" s="647"/>
      <c r="E12" s="647"/>
      <c r="F12" s="647"/>
      <c r="G12" s="647"/>
      <c r="H12" s="647"/>
      <c r="I12" s="647"/>
    </row>
    <row r="13" spans="1:9" x14ac:dyDescent="0.25">
      <c r="A13" s="647"/>
      <c r="B13" s="647"/>
      <c r="C13" s="647"/>
      <c r="D13" s="647"/>
      <c r="E13" s="647"/>
      <c r="F13" s="647"/>
      <c r="G13" s="647"/>
      <c r="H13" s="647"/>
      <c r="I13" s="647"/>
    </row>
    <row r="14" spans="1:9" x14ac:dyDescent="0.25">
      <c r="A14" s="647"/>
      <c r="B14" s="647"/>
      <c r="C14" s="647"/>
      <c r="D14" s="647"/>
      <c r="E14" s="647"/>
      <c r="F14" s="647"/>
      <c r="G14" s="647"/>
      <c r="H14" s="647"/>
      <c r="I14" s="647"/>
    </row>
    <row r="15" spans="1:9" ht="19.5" customHeight="1" x14ac:dyDescent="0.3">
      <c r="A15" s="236"/>
    </row>
    <row r="16" spans="1:9" ht="19.5" customHeight="1" x14ac:dyDescent="0.3">
      <c r="A16" s="619" t="s">
        <v>26</v>
      </c>
      <c r="B16" s="620"/>
      <c r="C16" s="620"/>
      <c r="D16" s="620"/>
      <c r="E16" s="620"/>
      <c r="F16" s="620"/>
      <c r="G16" s="620"/>
      <c r="H16" s="621"/>
    </row>
    <row r="17" spans="1:14" ht="20.25" customHeight="1" x14ac:dyDescent="0.25">
      <c r="A17" s="622" t="s">
        <v>42</v>
      </c>
      <c r="B17" s="622"/>
      <c r="C17" s="622"/>
      <c r="D17" s="622"/>
      <c r="E17" s="622"/>
      <c r="F17" s="622"/>
      <c r="G17" s="622"/>
      <c r="H17" s="622"/>
    </row>
    <row r="18" spans="1:14" ht="26.25" customHeight="1" x14ac:dyDescent="0.4">
      <c r="A18" s="238" t="s">
        <v>28</v>
      </c>
      <c r="B18" s="618" t="s">
        <v>4</v>
      </c>
      <c r="C18" s="618"/>
      <c r="D18" s="383"/>
      <c r="E18" s="239"/>
      <c r="F18" s="240"/>
      <c r="G18" s="240"/>
      <c r="H18" s="240"/>
    </row>
    <row r="19" spans="1:14" ht="26.25" customHeight="1" x14ac:dyDescent="0.4">
      <c r="A19" s="238" t="s">
        <v>29</v>
      </c>
      <c r="B19" s="241" t="s">
        <v>6</v>
      </c>
      <c r="C19" s="392">
        <v>1</v>
      </c>
      <c r="D19" s="240"/>
      <c r="E19" s="240"/>
      <c r="F19" s="240"/>
      <c r="G19" s="240"/>
      <c r="H19" s="240"/>
    </row>
    <row r="20" spans="1:14" ht="26.25" customHeight="1" x14ac:dyDescent="0.4">
      <c r="A20" s="238" t="s">
        <v>30</v>
      </c>
      <c r="B20" s="623" t="s">
        <v>127</v>
      </c>
      <c r="C20" s="623"/>
      <c r="D20" s="240"/>
      <c r="E20" s="240"/>
      <c r="F20" s="240"/>
      <c r="G20" s="240"/>
      <c r="H20" s="240"/>
    </row>
    <row r="21" spans="1:14" ht="26.25" customHeight="1" x14ac:dyDescent="0.4">
      <c r="A21" s="238" t="s">
        <v>31</v>
      </c>
      <c r="B21" s="623" t="s">
        <v>10</v>
      </c>
      <c r="C21" s="623"/>
      <c r="D21" s="623"/>
      <c r="E21" s="623"/>
      <c r="F21" s="623"/>
      <c r="G21" s="623"/>
      <c r="H21" s="623"/>
      <c r="I21" s="242"/>
    </row>
    <row r="22" spans="1:14" ht="26.25" customHeight="1" x14ac:dyDescent="0.4">
      <c r="A22" s="238" t="s">
        <v>32</v>
      </c>
      <c r="B22" s="243">
        <v>42719</v>
      </c>
      <c r="C22" s="240"/>
      <c r="D22" s="240"/>
      <c r="E22" s="240"/>
      <c r="F22" s="240"/>
      <c r="G22" s="240"/>
      <c r="H22" s="240"/>
    </row>
    <row r="23" spans="1:14" ht="26.25" customHeight="1" x14ac:dyDescent="0.4">
      <c r="A23" s="238" t="s">
        <v>33</v>
      </c>
      <c r="B23" s="243">
        <v>42723</v>
      </c>
      <c r="C23" s="240"/>
      <c r="D23" s="240"/>
      <c r="E23" s="240"/>
      <c r="F23" s="240"/>
      <c r="G23" s="240"/>
      <c r="H23" s="240"/>
    </row>
    <row r="24" spans="1:14" ht="18.75" x14ac:dyDescent="0.3">
      <c r="A24" s="238"/>
      <c r="B24" s="244"/>
    </row>
    <row r="25" spans="1:14" ht="18.75" x14ac:dyDescent="0.3">
      <c r="A25" s="245" t="s">
        <v>1</v>
      </c>
      <c r="B25" s="244"/>
    </row>
    <row r="26" spans="1:14" ht="26.25" customHeight="1" x14ac:dyDescent="0.4">
      <c r="A26" s="246" t="s">
        <v>3</v>
      </c>
      <c r="B26" s="618" t="s">
        <v>127</v>
      </c>
      <c r="C26" s="618"/>
    </row>
    <row r="27" spans="1:14" ht="26.25" customHeight="1" x14ac:dyDescent="0.4">
      <c r="A27" s="247" t="s">
        <v>43</v>
      </c>
      <c r="B27" s="624" t="s">
        <v>130</v>
      </c>
      <c r="C27" s="624"/>
    </row>
    <row r="28" spans="1:14" ht="27" customHeight="1" x14ac:dyDescent="0.4">
      <c r="A28" s="247" t="s">
        <v>5</v>
      </c>
      <c r="B28" s="248">
        <v>96.32</v>
      </c>
    </row>
    <row r="29" spans="1:14" s="3" customFormat="1" ht="27" customHeight="1" x14ac:dyDescent="0.4">
      <c r="A29" s="247" t="s">
        <v>44</v>
      </c>
      <c r="B29" s="249">
        <v>0</v>
      </c>
      <c r="C29" s="625" t="s">
        <v>45</v>
      </c>
      <c r="D29" s="626"/>
      <c r="E29" s="626"/>
      <c r="F29" s="626"/>
      <c r="G29" s="627"/>
      <c r="I29" s="250"/>
      <c r="J29" s="250"/>
      <c r="K29" s="250"/>
      <c r="L29" s="250"/>
    </row>
    <row r="30" spans="1:14" s="3" customFormat="1" ht="19.5" customHeight="1" x14ac:dyDescent="0.3">
      <c r="A30" s="247" t="s">
        <v>46</v>
      </c>
      <c r="B30" s="251">
        <f>B28-B29</f>
        <v>96.32</v>
      </c>
      <c r="C30" s="252"/>
      <c r="D30" s="252"/>
      <c r="E30" s="252"/>
      <c r="F30" s="252"/>
      <c r="G30" s="253"/>
      <c r="I30" s="250"/>
      <c r="J30" s="250"/>
      <c r="K30" s="250"/>
      <c r="L30" s="250"/>
    </row>
    <row r="31" spans="1:14" s="3" customFormat="1" ht="27" customHeight="1" x14ac:dyDescent="0.4">
      <c r="A31" s="247" t="s">
        <v>47</v>
      </c>
      <c r="B31" s="254">
        <v>1</v>
      </c>
      <c r="C31" s="628" t="s">
        <v>48</v>
      </c>
      <c r="D31" s="629"/>
      <c r="E31" s="629"/>
      <c r="F31" s="629"/>
      <c r="G31" s="629"/>
      <c r="H31" s="630"/>
      <c r="I31" s="250"/>
      <c r="J31" s="250"/>
      <c r="K31" s="250"/>
      <c r="L31" s="250"/>
    </row>
    <row r="32" spans="1:14" s="3" customFormat="1" ht="27" customHeight="1" x14ac:dyDescent="0.4">
      <c r="A32" s="247" t="s">
        <v>49</v>
      </c>
      <c r="B32" s="254">
        <v>1</v>
      </c>
      <c r="C32" s="628" t="s">
        <v>50</v>
      </c>
      <c r="D32" s="629"/>
      <c r="E32" s="629"/>
      <c r="F32" s="629"/>
      <c r="G32" s="629"/>
      <c r="H32" s="630"/>
      <c r="I32" s="250"/>
      <c r="J32" s="250"/>
      <c r="K32" s="250"/>
      <c r="L32" s="255"/>
      <c r="M32" s="255"/>
      <c r="N32" s="256"/>
    </row>
    <row r="33" spans="1:14" s="3" customFormat="1" ht="17.25" customHeight="1" x14ac:dyDescent="0.3">
      <c r="A33" s="247"/>
      <c r="B33" s="257"/>
      <c r="C33" s="258"/>
      <c r="D33" s="258"/>
      <c r="E33" s="258"/>
      <c r="F33" s="258"/>
      <c r="G33" s="258"/>
      <c r="H33" s="258"/>
      <c r="I33" s="250"/>
      <c r="J33" s="250"/>
      <c r="K33" s="250"/>
      <c r="L33" s="255"/>
      <c r="M33" s="255"/>
      <c r="N33" s="256"/>
    </row>
    <row r="34" spans="1:14" s="3" customFormat="1" ht="18.75" x14ac:dyDescent="0.3">
      <c r="A34" s="247" t="s">
        <v>51</v>
      </c>
      <c r="B34" s="259">
        <f>B31/B32</f>
        <v>1</v>
      </c>
      <c r="C34" s="237" t="s">
        <v>52</v>
      </c>
      <c r="D34" s="237"/>
      <c r="E34" s="237"/>
      <c r="F34" s="237"/>
      <c r="G34" s="237"/>
      <c r="I34" s="250"/>
      <c r="J34" s="250"/>
      <c r="K34" s="250"/>
      <c r="L34" s="255"/>
      <c r="M34" s="255"/>
      <c r="N34" s="256"/>
    </row>
    <row r="35" spans="1:14" s="3" customFormat="1" ht="19.5" customHeight="1" x14ac:dyDescent="0.3">
      <c r="A35" s="247"/>
      <c r="B35" s="251"/>
      <c r="G35" s="237"/>
      <c r="I35" s="250"/>
      <c r="J35" s="250"/>
      <c r="K35" s="250"/>
      <c r="L35" s="255"/>
      <c r="M35" s="255"/>
      <c r="N35" s="256"/>
    </row>
    <row r="36" spans="1:14" s="3" customFormat="1" ht="27" customHeight="1" x14ac:dyDescent="0.4">
      <c r="A36" s="260" t="s">
        <v>53</v>
      </c>
      <c r="B36" s="261">
        <v>10</v>
      </c>
      <c r="C36" s="237"/>
      <c r="D36" s="631" t="s">
        <v>54</v>
      </c>
      <c r="E36" s="632"/>
      <c r="F36" s="631" t="s">
        <v>55</v>
      </c>
      <c r="G36" s="633"/>
      <c r="J36" s="250"/>
      <c r="K36" s="250"/>
      <c r="L36" s="255"/>
      <c r="M36" s="255"/>
      <c r="N36" s="256"/>
    </row>
    <row r="37" spans="1:14" s="3" customFormat="1" ht="27" customHeight="1" x14ac:dyDescent="0.4">
      <c r="A37" s="262" t="s">
        <v>56</v>
      </c>
      <c r="B37" s="263">
        <v>4</v>
      </c>
      <c r="C37" s="264" t="s">
        <v>57</v>
      </c>
      <c r="D37" s="265" t="s">
        <v>58</v>
      </c>
      <c r="E37" s="266" t="s">
        <v>59</v>
      </c>
      <c r="F37" s="265" t="s">
        <v>58</v>
      </c>
      <c r="G37" s="267" t="s">
        <v>59</v>
      </c>
      <c r="I37" s="268" t="s">
        <v>60</v>
      </c>
      <c r="J37" s="250"/>
      <c r="K37" s="250"/>
      <c r="L37" s="255"/>
      <c r="M37" s="255"/>
      <c r="N37" s="256"/>
    </row>
    <row r="38" spans="1:14" s="3" customFormat="1" ht="26.25" customHeight="1" x14ac:dyDescent="0.4">
      <c r="A38" s="262" t="s">
        <v>61</v>
      </c>
      <c r="B38" s="263">
        <v>25</v>
      </c>
      <c r="C38" s="269">
        <v>1</v>
      </c>
      <c r="D38" s="270"/>
      <c r="E38" s="271" t="str">
        <f>IF(ISBLANK(D38),"-",$D$48/$D$45*D38)</f>
        <v>-</v>
      </c>
      <c r="F38" s="270">
        <v>1249196</v>
      </c>
      <c r="G38" s="272">
        <f>IF(ISBLANK(F38),"-",$D$48/$F$45*F38)</f>
        <v>1538096.2493774707</v>
      </c>
      <c r="I38" s="273"/>
      <c r="J38" s="250"/>
      <c r="K38" s="250"/>
      <c r="L38" s="255"/>
      <c r="M38" s="255"/>
      <c r="N38" s="256"/>
    </row>
    <row r="39" spans="1:14" s="3" customFormat="1" ht="26.25" customHeight="1" x14ac:dyDescent="0.4">
      <c r="A39" s="262" t="s">
        <v>62</v>
      </c>
      <c r="B39" s="263">
        <v>1</v>
      </c>
      <c r="C39" s="274">
        <v>2</v>
      </c>
      <c r="D39" s="275">
        <v>1118874</v>
      </c>
      <c r="E39" s="276">
        <f>IF(ISBLANK(D39),"-",$D$48/$D$45*D39)</f>
        <v>1515685.9051942378</v>
      </c>
      <c r="F39" s="275">
        <v>1248474</v>
      </c>
      <c r="G39" s="277">
        <f>IF(ISBLANK(F39),"-",$D$48/$F$45*F39)</f>
        <v>1537207.2731943491</v>
      </c>
      <c r="I39" s="635">
        <f>ABS((F43/D43*D42)-F42)/D42</f>
        <v>1.5955067063056997E-2</v>
      </c>
      <c r="J39" s="250"/>
      <c r="K39" s="250"/>
      <c r="L39" s="255"/>
      <c r="M39" s="255"/>
      <c r="N39" s="256"/>
    </row>
    <row r="40" spans="1:14" ht="26.25" customHeight="1" x14ac:dyDescent="0.4">
      <c r="A40" s="262" t="s">
        <v>63</v>
      </c>
      <c r="B40" s="263">
        <v>1</v>
      </c>
      <c r="C40" s="274">
        <v>3</v>
      </c>
      <c r="D40" s="275">
        <v>1118291</v>
      </c>
      <c r="E40" s="276">
        <f>IF(ISBLANK(D40),"-",$D$48/$D$45*D40)</f>
        <v>1514896.1425554345</v>
      </c>
      <c r="F40" s="275">
        <v>1247894</v>
      </c>
      <c r="G40" s="277">
        <f>IF(ISBLANK(F40),"-",$D$48/$F$45*F40)</f>
        <v>1536493.1372023679</v>
      </c>
      <c r="I40" s="635"/>
      <c r="L40" s="255"/>
      <c r="M40" s="255"/>
      <c r="N40" s="278"/>
    </row>
    <row r="41" spans="1:14" ht="27" customHeight="1" x14ac:dyDescent="0.4">
      <c r="A41" s="262" t="s">
        <v>64</v>
      </c>
      <c r="B41" s="263">
        <v>1</v>
      </c>
      <c r="C41" s="279">
        <v>4</v>
      </c>
      <c r="D41" s="280"/>
      <c r="E41" s="281" t="str">
        <f>IF(ISBLANK(D41),"-",$D$48/$D$45*D41)</f>
        <v>-</v>
      </c>
      <c r="F41" s="280"/>
      <c r="G41" s="282" t="str">
        <f>IF(ISBLANK(F41),"-",$D$48/$F$45*F41)</f>
        <v>-</v>
      </c>
      <c r="I41" s="283"/>
      <c r="L41" s="255"/>
      <c r="M41" s="255"/>
      <c r="N41" s="278"/>
    </row>
    <row r="42" spans="1:14" ht="27" customHeight="1" x14ac:dyDescent="0.4">
      <c r="A42" s="262" t="s">
        <v>65</v>
      </c>
      <c r="B42" s="263">
        <v>1</v>
      </c>
      <c r="C42" s="284" t="s">
        <v>66</v>
      </c>
      <c r="D42" s="285">
        <f>AVERAGE(D38:D41)</f>
        <v>1118582.5</v>
      </c>
      <c r="E42" s="286">
        <f>AVERAGE(E38:E41)</f>
        <v>1515291.023874836</v>
      </c>
      <c r="F42" s="285">
        <f>AVERAGE(F38:F41)</f>
        <v>1248521.3333333333</v>
      </c>
      <c r="G42" s="287">
        <f>AVERAGE(G38:G41)</f>
        <v>1537265.5532580626</v>
      </c>
      <c r="H42" s="288"/>
    </row>
    <row r="43" spans="1:14" ht="26.25" customHeight="1" x14ac:dyDescent="0.4">
      <c r="A43" s="262" t="s">
        <v>67</v>
      </c>
      <c r="B43" s="263">
        <v>1</v>
      </c>
      <c r="C43" s="289" t="s">
        <v>68</v>
      </c>
      <c r="D43" s="290">
        <v>9.58</v>
      </c>
      <c r="E43" s="278"/>
      <c r="F43" s="290">
        <v>10.54</v>
      </c>
      <c r="H43" s="288"/>
    </row>
    <row r="44" spans="1:14" ht="26.25" customHeight="1" x14ac:dyDescent="0.4">
      <c r="A44" s="262" t="s">
        <v>69</v>
      </c>
      <c r="B44" s="263">
        <v>1</v>
      </c>
      <c r="C44" s="291" t="s">
        <v>70</v>
      </c>
      <c r="D44" s="292">
        <f>D43*$B$34</f>
        <v>9.58</v>
      </c>
      <c r="E44" s="293"/>
      <c r="F44" s="292">
        <f>F43*$B$34</f>
        <v>10.54</v>
      </c>
      <c r="H44" s="288"/>
    </row>
    <row r="45" spans="1:14" ht="19.5" customHeight="1" x14ac:dyDescent="0.3">
      <c r="A45" s="262" t="s">
        <v>71</v>
      </c>
      <c r="B45" s="294">
        <f>(B44/B43)*(B42/B41)*(B40/B39)*(B38/B37)*B36</f>
        <v>62.5</v>
      </c>
      <c r="C45" s="291" t="s">
        <v>72</v>
      </c>
      <c r="D45" s="295">
        <f>D44*$B$30/100</f>
        <v>9.2274560000000001</v>
      </c>
      <c r="E45" s="296"/>
      <c r="F45" s="295">
        <f>F44*$B$30/100</f>
        <v>10.152127999999999</v>
      </c>
      <c r="H45" s="288"/>
    </row>
    <row r="46" spans="1:14" ht="19.5" customHeight="1" x14ac:dyDescent="0.3">
      <c r="A46" s="636" t="s">
        <v>73</v>
      </c>
      <c r="B46" s="637"/>
      <c r="C46" s="291" t="s">
        <v>74</v>
      </c>
      <c r="D46" s="297">
        <f>D45/$B$45</f>
        <v>0.147639296</v>
      </c>
      <c r="E46" s="298"/>
      <c r="F46" s="299">
        <f>F45/$B$45</f>
        <v>0.162434048</v>
      </c>
      <c r="H46" s="288"/>
    </row>
    <row r="47" spans="1:14" ht="27" customHeight="1" x14ac:dyDescent="0.4">
      <c r="A47" s="638"/>
      <c r="B47" s="639"/>
      <c r="C47" s="300" t="s">
        <v>75</v>
      </c>
      <c r="D47" s="301">
        <v>0.2</v>
      </c>
      <c r="E47" s="302"/>
      <c r="F47" s="298"/>
      <c r="H47" s="288"/>
    </row>
    <row r="48" spans="1:14" ht="18.75" x14ac:dyDescent="0.3">
      <c r="C48" s="303" t="s">
        <v>76</v>
      </c>
      <c r="D48" s="295">
        <f>D47*$B$45</f>
        <v>12.5</v>
      </c>
      <c r="F48" s="304"/>
      <c r="H48" s="288"/>
    </row>
    <row r="49" spans="1:12" ht="19.5" customHeight="1" x14ac:dyDescent="0.3">
      <c r="C49" s="305" t="s">
        <v>77</v>
      </c>
      <c r="D49" s="306">
        <f>D48/B34</f>
        <v>12.5</v>
      </c>
      <c r="F49" s="304"/>
      <c r="H49" s="288"/>
    </row>
    <row r="50" spans="1:12" ht="18.75" x14ac:dyDescent="0.3">
      <c r="C50" s="260" t="s">
        <v>78</v>
      </c>
      <c r="D50" s="307">
        <f>AVERAGE(E38:E41,G38:G41)</f>
        <v>1528475.7415047721</v>
      </c>
      <c r="F50" s="308"/>
      <c r="H50" s="288"/>
    </row>
    <row r="51" spans="1:12" ht="18.75" x14ac:dyDescent="0.3">
      <c r="C51" s="262" t="s">
        <v>79</v>
      </c>
      <c r="D51" s="309">
        <f>STDEV(E38:E41,G38:G41)/D50</f>
        <v>7.885353153357642E-3</v>
      </c>
      <c r="F51" s="308"/>
      <c r="H51" s="288"/>
    </row>
    <row r="52" spans="1:12" ht="19.5" customHeight="1" x14ac:dyDescent="0.3">
      <c r="C52" s="310" t="s">
        <v>19</v>
      </c>
      <c r="D52" s="311">
        <f>COUNT(E38:E41,G38:G41)</f>
        <v>5</v>
      </c>
      <c r="F52" s="308"/>
    </row>
    <row r="54" spans="1:12" ht="18.75" x14ac:dyDescent="0.3">
      <c r="A54" s="312" t="s">
        <v>1</v>
      </c>
      <c r="B54" s="313" t="s">
        <v>80</v>
      </c>
    </row>
    <row r="55" spans="1:12" ht="18.75" x14ac:dyDescent="0.3">
      <c r="A55" s="237" t="s">
        <v>81</v>
      </c>
      <c r="B55" s="314" t="str">
        <f>B21</f>
        <v>Each film coated tablet contains: Lamivudine USP 150 mg and Zidovudine USP 300 mg.</v>
      </c>
    </row>
    <row r="56" spans="1:12" ht="26.25" customHeight="1" x14ac:dyDescent="0.4">
      <c r="A56" s="315" t="s">
        <v>82</v>
      </c>
      <c r="B56" s="316">
        <v>200</v>
      </c>
      <c r="C56" s="237" t="str">
        <f>B20</f>
        <v>Nevirapine</v>
      </c>
      <c r="H56" s="317"/>
    </row>
    <row r="57" spans="1:12" ht="18.75" x14ac:dyDescent="0.3">
      <c r="A57" s="314" t="s">
        <v>83</v>
      </c>
      <c r="B57" s="384">
        <f>Uniformity!C46</f>
        <v>1227.5750000000003</v>
      </c>
      <c r="H57" s="317"/>
    </row>
    <row r="58" spans="1:12" ht="19.5" customHeight="1" x14ac:dyDescent="0.3">
      <c r="H58" s="317"/>
    </row>
    <row r="59" spans="1:12" s="3" customFormat="1" ht="27" customHeight="1" x14ac:dyDescent="0.4">
      <c r="A59" s="260" t="s">
        <v>84</v>
      </c>
      <c r="B59" s="261">
        <v>100</v>
      </c>
      <c r="C59" s="237"/>
      <c r="D59" s="318" t="s">
        <v>85</v>
      </c>
      <c r="E59" s="319" t="s">
        <v>57</v>
      </c>
      <c r="F59" s="319" t="s">
        <v>58</v>
      </c>
      <c r="G59" s="319" t="s">
        <v>86</v>
      </c>
      <c r="H59" s="264" t="s">
        <v>87</v>
      </c>
      <c r="L59" s="250"/>
    </row>
    <row r="60" spans="1:12" s="3" customFormat="1" ht="26.25" customHeight="1" x14ac:dyDescent="0.4">
      <c r="A60" s="262" t="s">
        <v>88</v>
      </c>
      <c r="B60" s="263">
        <v>5</v>
      </c>
      <c r="C60" s="640" t="s">
        <v>89</v>
      </c>
      <c r="D60" s="643">
        <f>Lamivudine!D60</f>
        <v>1211.8699999999999</v>
      </c>
      <c r="E60" s="320">
        <v>1</v>
      </c>
      <c r="F60" s="321">
        <v>1513715</v>
      </c>
      <c r="G60" s="385">
        <f>IF(ISBLANK(F60),"-",(F60/$D$50*$D$47*$B$68)*($B$57/$D$60))</f>
        <v>200.63539924605618</v>
      </c>
      <c r="H60" s="403">
        <f t="shared" ref="H60:H71" si="0">IF(ISBLANK(F60),"-",(G60/$B$56)*100)</f>
        <v>100.3176996230281</v>
      </c>
      <c r="L60" s="250"/>
    </row>
    <row r="61" spans="1:12" s="3" customFormat="1" ht="26.25" customHeight="1" x14ac:dyDescent="0.4">
      <c r="A61" s="262" t="s">
        <v>90</v>
      </c>
      <c r="B61" s="263">
        <v>50</v>
      </c>
      <c r="C61" s="641"/>
      <c r="D61" s="644"/>
      <c r="E61" s="322">
        <v>2</v>
      </c>
      <c r="F61" s="275">
        <v>1518406</v>
      </c>
      <c r="G61" s="386">
        <f>IF(ISBLANK(F61),"-",(F61/$D$50*$D$47*$B$68)*($B$57/$D$60))</f>
        <v>201.25716797918176</v>
      </c>
      <c r="H61" s="404">
        <f t="shared" si="0"/>
        <v>100.62858398959087</v>
      </c>
      <c r="L61" s="250"/>
    </row>
    <row r="62" spans="1:12" s="3" customFormat="1" ht="26.25" customHeight="1" x14ac:dyDescent="0.4">
      <c r="A62" s="262" t="s">
        <v>91</v>
      </c>
      <c r="B62" s="263">
        <v>1</v>
      </c>
      <c r="C62" s="641"/>
      <c r="D62" s="644"/>
      <c r="E62" s="322">
        <v>3</v>
      </c>
      <c r="F62" s="323">
        <v>1506758</v>
      </c>
      <c r="G62" s="386">
        <f>IF(ISBLANK(F62),"-",(F62/$D$50*$D$47*$B$68)*($B$57/$D$60))</f>
        <v>199.7132834762086</v>
      </c>
      <c r="H62" s="404">
        <f t="shared" si="0"/>
        <v>99.856641738104301</v>
      </c>
      <c r="L62" s="250"/>
    </row>
    <row r="63" spans="1:12" ht="27" customHeight="1" x14ac:dyDescent="0.4">
      <c r="A63" s="262" t="s">
        <v>92</v>
      </c>
      <c r="B63" s="263">
        <v>1</v>
      </c>
      <c r="C63" s="642"/>
      <c r="D63" s="645"/>
      <c r="E63" s="324">
        <v>4</v>
      </c>
      <c r="F63" s="325"/>
      <c r="G63" s="386" t="str">
        <f>IF(ISBLANK(F63),"-",(F63/$D$50*$D$47*$B$68)*($B$57/$D$60))</f>
        <v>-</v>
      </c>
      <c r="H63" s="404" t="str">
        <f t="shared" si="0"/>
        <v>-</v>
      </c>
    </row>
    <row r="64" spans="1:12" ht="26.25" customHeight="1" x14ac:dyDescent="0.4">
      <c r="A64" s="262" t="s">
        <v>93</v>
      </c>
      <c r="B64" s="263">
        <v>1</v>
      </c>
      <c r="C64" s="640" t="s">
        <v>94</v>
      </c>
      <c r="D64" s="643">
        <f>Lamivudine!D64</f>
        <v>1231.5899999999999</v>
      </c>
      <c r="E64" s="320">
        <v>1</v>
      </c>
      <c r="F64" s="321">
        <v>1584906</v>
      </c>
      <c r="G64" s="385">
        <f>IF(ISBLANK(F64),"-",(F64/$D$50*$D$47*$B$68)*($B$57/$D$64))</f>
        <v>206.70778634963301</v>
      </c>
      <c r="H64" s="403">
        <f t="shared" si="0"/>
        <v>103.35389317481652</v>
      </c>
    </row>
    <row r="65" spans="1:8" ht="26.25" customHeight="1" x14ac:dyDescent="0.4">
      <c r="A65" s="262" t="s">
        <v>95</v>
      </c>
      <c r="B65" s="263">
        <v>1</v>
      </c>
      <c r="C65" s="641"/>
      <c r="D65" s="644"/>
      <c r="E65" s="322">
        <v>2</v>
      </c>
      <c r="F65" s="275">
        <v>1586661</v>
      </c>
      <c r="G65" s="386">
        <f>IF(ISBLANK(F65),"-",(F65/$D$50*$D$47*$B$68)*($B$57/$D$64))</f>
        <v>206.93667826186228</v>
      </c>
      <c r="H65" s="404">
        <f t="shared" si="0"/>
        <v>103.46833913093114</v>
      </c>
    </row>
    <row r="66" spans="1:8" ht="26.25" customHeight="1" x14ac:dyDescent="0.4">
      <c r="A66" s="262" t="s">
        <v>96</v>
      </c>
      <c r="B66" s="263">
        <v>1</v>
      </c>
      <c r="C66" s="641"/>
      <c r="D66" s="644"/>
      <c r="E66" s="322">
        <v>3</v>
      </c>
      <c r="F66" s="275">
        <v>1587358</v>
      </c>
      <c r="G66" s="386">
        <f>IF(ISBLANK(F66),"-",(F66/$D$50*$D$47*$B$68)*($B$57/$D$64))</f>
        <v>207.02758291304391</v>
      </c>
      <c r="H66" s="404">
        <f t="shared" si="0"/>
        <v>103.51379145652196</v>
      </c>
    </row>
    <row r="67" spans="1:8" ht="27" customHeight="1" x14ac:dyDescent="0.4">
      <c r="A67" s="262" t="s">
        <v>97</v>
      </c>
      <c r="B67" s="263">
        <v>1</v>
      </c>
      <c r="C67" s="642"/>
      <c r="D67" s="645"/>
      <c r="E67" s="324">
        <v>4</v>
      </c>
      <c r="F67" s="325"/>
      <c r="G67" s="402" t="str">
        <f>IF(ISBLANK(F67),"-",(F67/$D$50*$D$47*$B$68)*($B$57/$D$64))</f>
        <v>-</v>
      </c>
      <c r="H67" s="405" t="str">
        <f t="shared" si="0"/>
        <v>-</v>
      </c>
    </row>
    <row r="68" spans="1:8" ht="26.25" customHeight="1" x14ac:dyDescent="0.4">
      <c r="A68" s="262" t="s">
        <v>98</v>
      </c>
      <c r="B68" s="326">
        <f>(B67/B66)*(B65/B64)*(B63/B62)*(B61/B60)*B59</f>
        <v>1000</v>
      </c>
      <c r="C68" s="640" t="s">
        <v>99</v>
      </c>
      <c r="D68" s="643">
        <f>Lamivudine!D68</f>
        <v>1222.44</v>
      </c>
      <c r="E68" s="320">
        <v>1</v>
      </c>
      <c r="F68" s="321">
        <v>1506851</v>
      </c>
      <c r="G68" s="385">
        <f>IF(ISBLANK(F68),"-",(F68/$D$50*$D$47*$B$68)*($B$57/$D$68))</f>
        <v>197.9986544856045</v>
      </c>
      <c r="H68" s="404">
        <f t="shared" si="0"/>
        <v>98.999327242802252</v>
      </c>
    </row>
    <row r="69" spans="1:8" ht="27" customHeight="1" x14ac:dyDescent="0.4">
      <c r="A69" s="310" t="s">
        <v>100</v>
      </c>
      <c r="B69" s="327">
        <f>(D47*B68)/B56*B57</f>
        <v>1227.5750000000003</v>
      </c>
      <c r="C69" s="641"/>
      <c r="D69" s="644"/>
      <c r="E69" s="322">
        <v>2</v>
      </c>
      <c r="F69" s="275">
        <v>1513379</v>
      </c>
      <c r="G69" s="386">
        <f>IF(ISBLANK(F69),"-",(F69/$D$50*$D$47*$B$68)*($B$57/$D$68))</f>
        <v>198.85642689739709</v>
      </c>
      <c r="H69" s="404">
        <f t="shared" si="0"/>
        <v>99.428213448698543</v>
      </c>
    </row>
    <row r="70" spans="1:8" ht="26.25" customHeight="1" x14ac:dyDescent="0.4">
      <c r="A70" s="653" t="s">
        <v>73</v>
      </c>
      <c r="B70" s="654"/>
      <c r="C70" s="641"/>
      <c r="D70" s="644"/>
      <c r="E70" s="322">
        <v>3</v>
      </c>
      <c r="F70" s="275">
        <v>1521424</v>
      </c>
      <c r="G70" s="386">
        <f>IF(ISBLANK(F70),"-",(F70/$D$50*$D$47*$B$68)*($B$57/$D$68))</f>
        <v>199.91353153172167</v>
      </c>
      <c r="H70" s="404">
        <f t="shared" si="0"/>
        <v>99.956765765860837</v>
      </c>
    </row>
    <row r="71" spans="1:8" ht="27" customHeight="1" x14ac:dyDescent="0.4">
      <c r="A71" s="655"/>
      <c r="B71" s="656"/>
      <c r="C71" s="652"/>
      <c r="D71" s="645"/>
      <c r="E71" s="324">
        <v>4</v>
      </c>
      <c r="F71" s="325"/>
      <c r="G71" s="402" t="str">
        <f>IF(ISBLANK(F71),"-",(F71/$D$50*$D$47*$B$68)*($B$57/$D$68))</f>
        <v>-</v>
      </c>
      <c r="H71" s="405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30" t="s">
        <v>66</v>
      </c>
      <c r="G72" s="391">
        <f>AVERAGE(G60:G71)</f>
        <v>202.11627901563435</v>
      </c>
      <c r="H72" s="406">
        <f>AVERAGE(H60:H71)</f>
        <v>101.05813950781717</v>
      </c>
    </row>
    <row r="73" spans="1:8" ht="26.25" customHeight="1" x14ac:dyDescent="0.4">
      <c r="C73" s="328"/>
      <c r="D73" s="328"/>
      <c r="E73" s="328"/>
      <c r="F73" s="331" t="s">
        <v>79</v>
      </c>
      <c r="G73" s="390">
        <f>STDEV(G60:G71)/G72</f>
        <v>1.8311150845360773E-2</v>
      </c>
      <c r="H73" s="390">
        <f>STDEV(H60:H71)/H72</f>
        <v>1.831115084536079E-2</v>
      </c>
    </row>
    <row r="74" spans="1:8" ht="27" customHeight="1" x14ac:dyDescent="0.4">
      <c r="A74" s="328"/>
      <c r="B74" s="328"/>
      <c r="C74" s="329"/>
      <c r="D74" s="329"/>
      <c r="E74" s="332"/>
      <c r="F74" s="333" t="s">
        <v>19</v>
      </c>
      <c r="G74" s="334">
        <f>COUNT(G60:G71)</f>
        <v>9</v>
      </c>
      <c r="H74" s="334">
        <f>COUNT(H60:H71)</f>
        <v>9</v>
      </c>
    </row>
    <row r="76" spans="1:8" ht="26.25" customHeight="1" x14ac:dyDescent="0.4">
      <c r="A76" s="246" t="s">
        <v>101</v>
      </c>
      <c r="B76" s="335" t="s">
        <v>102</v>
      </c>
      <c r="C76" s="648" t="str">
        <f>B26</f>
        <v>Nevirapine</v>
      </c>
      <c r="D76" s="648"/>
      <c r="E76" s="336" t="s">
        <v>103</v>
      </c>
      <c r="F76" s="336"/>
      <c r="G76" s="337">
        <f>H72</f>
        <v>101.05813950781717</v>
      </c>
      <c r="H76" s="338"/>
    </row>
    <row r="77" spans="1:8" ht="18.75" x14ac:dyDescent="0.3">
      <c r="A77" s="245" t="s">
        <v>104</v>
      </c>
      <c r="B77" s="245" t="s">
        <v>105</v>
      </c>
    </row>
    <row r="78" spans="1:8" ht="18.75" x14ac:dyDescent="0.3">
      <c r="A78" s="245"/>
      <c r="B78" s="245"/>
    </row>
    <row r="79" spans="1:8" ht="26.25" customHeight="1" x14ac:dyDescent="0.4">
      <c r="A79" s="246" t="s">
        <v>3</v>
      </c>
      <c r="B79" s="634" t="str">
        <f>B26</f>
        <v>Nevirapine</v>
      </c>
      <c r="C79" s="634"/>
    </row>
    <row r="80" spans="1:8" ht="26.25" customHeight="1" x14ac:dyDescent="0.4">
      <c r="A80" s="247" t="s">
        <v>43</v>
      </c>
      <c r="B80" s="634" t="str">
        <f>B27</f>
        <v>RM</v>
      </c>
      <c r="C80" s="634"/>
    </row>
    <row r="81" spans="1:12" ht="27" customHeight="1" x14ac:dyDescent="0.4">
      <c r="A81" s="247" t="s">
        <v>5</v>
      </c>
      <c r="B81" s="339">
        <f>B28</f>
        <v>96.32</v>
      </c>
    </row>
    <row r="82" spans="1:12" s="3" customFormat="1" ht="27" customHeight="1" x14ac:dyDescent="0.4">
      <c r="A82" s="247" t="s">
        <v>44</v>
      </c>
      <c r="B82" s="249">
        <v>0</v>
      </c>
      <c r="C82" s="625" t="s">
        <v>45</v>
      </c>
      <c r="D82" s="626"/>
      <c r="E82" s="626"/>
      <c r="F82" s="626"/>
      <c r="G82" s="627"/>
      <c r="I82" s="250"/>
      <c r="J82" s="250"/>
      <c r="K82" s="250"/>
      <c r="L82" s="250"/>
    </row>
    <row r="83" spans="1:12" s="3" customFormat="1" ht="19.5" customHeight="1" x14ac:dyDescent="0.3">
      <c r="A83" s="247" t="s">
        <v>46</v>
      </c>
      <c r="B83" s="251">
        <f>B81-B82</f>
        <v>96.32</v>
      </c>
      <c r="C83" s="252"/>
      <c r="D83" s="252"/>
      <c r="E83" s="252"/>
      <c r="F83" s="252"/>
      <c r="G83" s="253"/>
      <c r="I83" s="250"/>
      <c r="J83" s="250"/>
      <c r="K83" s="250"/>
      <c r="L83" s="250"/>
    </row>
    <row r="84" spans="1:12" s="3" customFormat="1" ht="27" customHeight="1" x14ac:dyDescent="0.4">
      <c r="A84" s="247" t="s">
        <v>47</v>
      </c>
      <c r="B84" s="254">
        <v>1</v>
      </c>
      <c r="C84" s="628" t="s">
        <v>106</v>
      </c>
      <c r="D84" s="629"/>
      <c r="E84" s="629"/>
      <c r="F84" s="629"/>
      <c r="G84" s="629"/>
      <c r="H84" s="630"/>
      <c r="I84" s="250"/>
      <c r="J84" s="250"/>
      <c r="K84" s="250"/>
      <c r="L84" s="250"/>
    </row>
    <row r="85" spans="1:12" s="3" customFormat="1" ht="27" customHeight="1" x14ac:dyDescent="0.4">
      <c r="A85" s="247" t="s">
        <v>49</v>
      </c>
      <c r="B85" s="254">
        <v>1</v>
      </c>
      <c r="C85" s="628" t="s">
        <v>107</v>
      </c>
      <c r="D85" s="629"/>
      <c r="E85" s="629"/>
      <c r="F85" s="629"/>
      <c r="G85" s="629"/>
      <c r="H85" s="630"/>
      <c r="I85" s="250"/>
      <c r="J85" s="250"/>
      <c r="K85" s="250"/>
      <c r="L85" s="250"/>
    </row>
    <row r="86" spans="1:12" s="3" customFormat="1" ht="18.75" x14ac:dyDescent="0.3">
      <c r="A86" s="247"/>
      <c r="B86" s="257"/>
      <c r="C86" s="258"/>
      <c r="D86" s="258"/>
      <c r="E86" s="258"/>
      <c r="F86" s="258"/>
      <c r="G86" s="258"/>
      <c r="H86" s="258"/>
      <c r="I86" s="250"/>
      <c r="J86" s="250"/>
      <c r="K86" s="250"/>
      <c r="L86" s="250"/>
    </row>
    <row r="87" spans="1:12" s="3" customFormat="1" ht="18.75" x14ac:dyDescent="0.3">
      <c r="A87" s="247" t="s">
        <v>51</v>
      </c>
      <c r="B87" s="259">
        <f>B84/B85</f>
        <v>1</v>
      </c>
      <c r="C87" s="237" t="s">
        <v>52</v>
      </c>
      <c r="D87" s="237"/>
      <c r="E87" s="237"/>
      <c r="F87" s="237"/>
      <c r="G87" s="237"/>
      <c r="I87" s="250"/>
      <c r="J87" s="250"/>
      <c r="K87" s="250"/>
      <c r="L87" s="250"/>
    </row>
    <row r="88" spans="1:12" ht="19.5" customHeight="1" x14ac:dyDescent="0.3">
      <c r="A88" s="245"/>
      <c r="B88" s="245"/>
    </row>
    <row r="89" spans="1:12" ht="27" customHeight="1" x14ac:dyDescent="0.4">
      <c r="A89" s="260" t="s">
        <v>53</v>
      </c>
      <c r="B89" s="261">
        <v>10</v>
      </c>
      <c r="D89" s="340" t="s">
        <v>54</v>
      </c>
      <c r="E89" s="341"/>
      <c r="F89" s="631" t="s">
        <v>55</v>
      </c>
      <c r="G89" s="633"/>
    </row>
    <row r="90" spans="1:12" ht="27" customHeight="1" x14ac:dyDescent="0.4">
      <c r="A90" s="262" t="s">
        <v>56</v>
      </c>
      <c r="B90" s="263">
        <v>4</v>
      </c>
      <c r="C90" s="342" t="s">
        <v>57</v>
      </c>
      <c r="D90" s="265" t="s">
        <v>58</v>
      </c>
      <c r="E90" s="266" t="s">
        <v>59</v>
      </c>
      <c r="F90" s="265" t="s">
        <v>58</v>
      </c>
      <c r="G90" s="343" t="s">
        <v>59</v>
      </c>
      <c r="I90" s="268" t="s">
        <v>60</v>
      </c>
    </row>
    <row r="91" spans="1:12" ht="26.25" customHeight="1" x14ac:dyDescent="0.4">
      <c r="A91" s="262" t="s">
        <v>61</v>
      </c>
      <c r="B91" s="263">
        <v>25</v>
      </c>
      <c r="C91" s="344">
        <v>1</v>
      </c>
      <c r="D91" s="456"/>
      <c r="E91" s="271" t="str">
        <f>IF(ISBLANK(D91),"-",$D$101/$D$98*D91)</f>
        <v>-</v>
      </c>
      <c r="F91" s="456">
        <v>1249196</v>
      </c>
      <c r="G91" s="272">
        <f>IF(ISBLANK(F91),"-",$D$101/$F$98*F91)</f>
        <v>1708995.8326416337</v>
      </c>
      <c r="I91" s="273"/>
    </row>
    <row r="92" spans="1:12" ht="26.25" customHeight="1" x14ac:dyDescent="0.4">
      <c r="A92" s="262" t="s">
        <v>62</v>
      </c>
      <c r="B92" s="263">
        <v>1</v>
      </c>
      <c r="C92" s="329">
        <v>2</v>
      </c>
      <c r="D92" s="461">
        <v>1118874</v>
      </c>
      <c r="E92" s="276">
        <f>IF(ISBLANK(D92),"-",$D$101/$D$98*D92)</f>
        <v>1684095.4502158195</v>
      </c>
      <c r="F92" s="461">
        <v>1248474</v>
      </c>
      <c r="G92" s="277">
        <f>IF(ISBLANK(F92),"-",$D$101/$F$98*F92)</f>
        <v>1708008.0813270544</v>
      </c>
      <c r="I92" s="635">
        <f>ABS((F96/D96*D95)-F95)/D95</f>
        <v>1.5955067063056997E-2</v>
      </c>
    </row>
    <row r="93" spans="1:12" ht="26.25" customHeight="1" x14ac:dyDescent="0.4">
      <c r="A93" s="262" t="s">
        <v>63</v>
      </c>
      <c r="B93" s="263">
        <v>1</v>
      </c>
      <c r="C93" s="329">
        <v>3</v>
      </c>
      <c r="D93" s="461">
        <v>1118291</v>
      </c>
      <c r="E93" s="276">
        <f>IF(ISBLANK(D93),"-",$D$101/$D$98*D93)</f>
        <v>1683217.9361727049</v>
      </c>
      <c r="F93" s="461">
        <v>1247894</v>
      </c>
      <c r="G93" s="277">
        <f>IF(ISBLANK(F93),"-",$D$101/$F$98*F93)</f>
        <v>1707214.5968915196</v>
      </c>
      <c r="I93" s="635"/>
    </row>
    <row r="94" spans="1:12" ht="27" customHeight="1" x14ac:dyDescent="0.4">
      <c r="A94" s="262" t="s">
        <v>64</v>
      </c>
      <c r="B94" s="263">
        <v>1</v>
      </c>
      <c r="C94" s="345">
        <v>4</v>
      </c>
      <c r="D94" s="466"/>
      <c r="E94" s="281" t="str">
        <f>IF(ISBLANK(D94),"-",$D$101/$D$98*D94)</f>
        <v>-</v>
      </c>
      <c r="F94" s="466"/>
      <c r="G94" s="282" t="str">
        <f>IF(ISBLANK(F94),"-",$D$101/$F$98*F94)</f>
        <v>-</v>
      </c>
      <c r="I94" s="283"/>
    </row>
    <row r="95" spans="1:12" ht="27" customHeight="1" x14ac:dyDescent="0.4">
      <c r="A95" s="262" t="s">
        <v>65</v>
      </c>
      <c r="B95" s="263">
        <v>1</v>
      </c>
      <c r="C95" s="346" t="s">
        <v>66</v>
      </c>
      <c r="D95" s="347">
        <f>AVERAGE(D91:D94)</f>
        <v>1118582.5</v>
      </c>
      <c r="E95" s="286">
        <f>AVERAGE(E91:E94)</f>
        <v>1683656.6931942622</v>
      </c>
      <c r="F95" s="348">
        <f>AVERAGE(F91:F94)</f>
        <v>1248521.3333333333</v>
      </c>
      <c r="G95" s="349">
        <f>AVERAGE(G91:G94)</f>
        <v>1708072.8369534025</v>
      </c>
    </row>
    <row r="96" spans="1:12" ht="26.25" customHeight="1" x14ac:dyDescent="0.4">
      <c r="A96" s="262" t="s">
        <v>67</v>
      </c>
      <c r="B96" s="248">
        <v>1</v>
      </c>
      <c r="C96" s="350" t="s">
        <v>108</v>
      </c>
      <c r="D96" s="351">
        <f>D43</f>
        <v>9.58</v>
      </c>
      <c r="E96" s="278"/>
      <c r="F96" s="290">
        <f>F43</f>
        <v>10.54</v>
      </c>
    </row>
    <row r="97" spans="1:10" ht="26.25" customHeight="1" x14ac:dyDescent="0.4">
      <c r="A97" s="262" t="s">
        <v>69</v>
      </c>
      <c r="B97" s="248">
        <v>1</v>
      </c>
      <c r="C97" s="352" t="s">
        <v>109</v>
      </c>
      <c r="D97" s="353">
        <f>D96*$B$87</f>
        <v>9.58</v>
      </c>
      <c r="E97" s="293"/>
      <c r="F97" s="292">
        <f>F96*$B$87</f>
        <v>10.54</v>
      </c>
    </row>
    <row r="98" spans="1:10" ht="19.5" customHeight="1" x14ac:dyDescent="0.3">
      <c r="A98" s="262" t="s">
        <v>71</v>
      </c>
      <c r="B98" s="354">
        <f>(B97/B96)*(B95/B94)*(B93/B92)*(B91/B90)*B89</f>
        <v>62.5</v>
      </c>
      <c r="C98" s="352" t="s">
        <v>110</v>
      </c>
      <c r="D98" s="355">
        <f>D97*$B$83/100</f>
        <v>9.2274560000000001</v>
      </c>
      <c r="E98" s="296"/>
      <c r="F98" s="295">
        <f>F97*$B$83/100</f>
        <v>10.152127999999999</v>
      </c>
    </row>
    <row r="99" spans="1:10" ht="19.5" customHeight="1" x14ac:dyDescent="0.3">
      <c r="A99" s="636" t="s">
        <v>73</v>
      </c>
      <c r="B99" s="650"/>
      <c r="C99" s="352" t="s">
        <v>111</v>
      </c>
      <c r="D99" s="356">
        <f>D98/$B$98</f>
        <v>0.147639296</v>
      </c>
      <c r="E99" s="296"/>
      <c r="F99" s="299">
        <f>F98/$B$98</f>
        <v>0.162434048</v>
      </c>
      <c r="G99" s="357"/>
      <c r="H99" s="288"/>
    </row>
    <row r="100" spans="1:10" ht="19.5" customHeight="1" x14ac:dyDescent="0.3">
      <c r="A100" s="638"/>
      <c r="B100" s="651"/>
      <c r="C100" s="352" t="s">
        <v>75</v>
      </c>
      <c r="D100" s="358">
        <f>$B$56/$B$116</f>
        <v>0.22222222222222221</v>
      </c>
      <c r="F100" s="304"/>
      <c r="G100" s="359"/>
      <c r="H100" s="288"/>
    </row>
    <row r="101" spans="1:10" ht="18.75" x14ac:dyDescent="0.3">
      <c r="C101" s="352" t="s">
        <v>76</v>
      </c>
      <c r="D101" s="353">
        <f>D100*$B$98</f>
        <v>13.888888888888888</v>
      </c>
      <c r="F101" s="304"/>
      <c r="G101" s="357"/>
      <c r="H101" s="288"/>
    </row>
    <row r="102" spans="1:10" ht="19.5" customHeight="1" x14ac:dyDescent="0.3">
      <c r="C102" s="360" t="s">
        <v>77</v>
      </c>
      <c r="D102" s="361">
        <f>D101/B34</f>
        <v>13.888888888888888</v>
      </c>
      <c r="F102" s="308"/>
      <c r="G102" s="357"/>
      <c r="H102" s="288"/>
      <c r="J102" s="362"/>
    </row>
    <row r="103" spans="1:10" ht="18.75" x14ac:dyDescent="0.3">
      <c r="C103" s="363" t="s">
        <v>112</v>
      </c>
      <c r="D103" s="364">
        <f>AVERAGE(E91:E94,G91:G94)</f>
        <v>1698306.3794497468</v>
      </c>
      <c r="F103" s="308"/>
      <c r="G103" s="365"/>
      <c r="H103" s="288"/>
      <c r="J103" s="366"/>
    </row>
    <row r="104" spans="1:10" ht="18.75" x14ac:dyDescent="0.3">
      <c r="C104" s="331" t="s">
        <v>79</v>
      </c>
      <c r="D104" s="367">
        <f>STDEV(E91:E94,G91:G94)/D103</f>
        <v>7.8853531533576073E-3</v>
      </c>
      <c r="F104" s="308"/>
      <c r="G104" s="357"/>
      <c r="H104" s="288"/>
      <c r="J104" s="366"/>
    </row>
    <row r="105" spans="1:10" ht="19.5" customHeight="1" x14ac:dyDescent="0.3">
      <c r="C105" s="333" t="s">
        <v>19</v>
      </c>
      <c r="D105" s="368">
        <f>COUNT(E91:E94,G91:G94)</f>
        <v>5</v>
      </c>
      <c r="F105" s="308"/>
      <c r="G105" s="357"/>
      <c r="H105" s="288"/>
      <c r="J105" s="366"/>
    </row>
    <row r="106" spans="1:10" ht="19.5" customHeight="1" x14ac:dyDescent="0.3">
      <c r="A106" s="312"/>
      <c r="B106" s="312"/>
      <c r="C106" s="312"/>
      <c r="D106" s="312"/>
      <c r="E106" s="312"/>
    </row>
    <row r="107" spans="1:10" ht="27" customHeight="1" x14ac:dyDescent="0.4">
      <c r="A107" s="260" t="s">
        <v>113</v>
      </c>
      <c r="B107" s="261">
        <v>900</v>
      </c>
      <c r="C107" s="407" t="s">
        <v>114</v>
      </c>
      <c r="D107" s="407" t="s">
        <v>58</v>
      </c>
      <c r="E107" s="407" t="s">
        <v>115</v>
      </c>
      <c r="F107" s="369" t="s">
        <v>116</v>
      </c>
    </row>
    <row r="108" spans="1:10" ht="26.25" customHeight="1" x14ac:dyDescent="0.4">
      <c r="A108" s="262" t="s">
        <v>117</v>
      </c>
      <c r="B108" s="263">
        <v>1</v>
      </c>
      <c r="C108" s="412">
        <v>1</v>
      </c>
      <c r="D108" s="413">
        <v>1660736</v>
      </c>
      <c r="E108" s="387">
        <f t="shared" ref="E108:E113" si="1">IF(ISBLANK(D108),"-",D108/$D$103*$D$100*$B$116)</f>
        <v>195.57554750964078</v>
      </c>
      <c r="F108" s="414">
        <f t="shared" ref="F108:F113" si="2">IF(ISBLANK(D108), "-", (E108/$B$56)*100)</f>
        <v>97.787773754820392</v>
      </c>
    </row>
    <row r="109" spans="1:10" ht="26.25" customHeight="1" x14ac:dyDescent="0.4">
      <c r="A109" s="262" t="s">
        <v>90</v>
      </c>
      <c r="B109" s="263">
        <v>1</v>
      </c>
      <c r="C109" s="408">
        <v>2</v>
      </c>
      <c r="D109" s="410">
        <v>1658123</v>
      </c>
      <c r="E109" s="388">
        <f t="shared" si="1"/>
        <v>195.26782918135581</v>
      </c>
      <c r="F109" s="415">
        <f t="shared" si="2"/>
        <v>97.633914590677904</v>
      </c>
    </row>
    <row r="110" spans="1:10" ht="26.25" customHeight="1" x14ac:dyDescent="0.4">
      <c r="A110" s="262" t="s">
        <v>91</v>
      </c>
      <c r="B110" s="263">
        <v>1</v>
      </c>
      <c r="C110" s="408">
        <v>3</v>
      </c>
      <c r="D110" s="410">
        <v>1663602</v>
      </c>
      <c r="E110" s="388">
        <f t="shared" si="1"/>
        <v>195.91306022638963</v>
      </c>
      <c r="F110" s="415">
        <f t="shared" si="2"/>
        <v>97.956530113194816</v>
      </c>
    </row>
    <row r="111" spans="1:10" ht="26.25" customHeight="1" x14ac:dyDescent="0.4">
      <c r="A111" s="262" t="s">
        <v>92</v>
      </c>
      <c r="B111" s="263">
        <v>1</v>
      </c>
      <c r="C111" s="408">
        <v>4</v>
      </c>
      <c r="D111" s="410">
        <v>1658738</v>
      </c>
      <c r="E111" s="388">
        <f t="shared" si="1"/>
        <v>195.34025427584308</v>
      </c>
      <c r="F111" s="415">
        <f t="shared" si="2"/>
        <v>97.67012713792154</v>
      </c>
    </row>
    <row r="112" spans="1:10" ht="26.25" customHeight="1" x14ac:dyDescent="0.4">
      <c r="A112" s="262" t="s">
        <v>93</v>
      </c>
      <c r="B112" s="263">
        <v>1</v>
      </c>
      <c r="C112" s="408">
        <v>5</v>
      </c>
      <c r="D112" s="410">
        <v>1662984</v>
      </c>
      <c r="E112" s="388">
        <f t="shared" si="1"/>
        <v>195.84028183875853</v>
      </c>
      <c r="F112" s="415">
        <f t="shared" si="2"/>
        <v>97.920140919379264</v>
      </c>
    </row>
    <row r="113" spans="1:10" ht="27" customHeight="1" x14ac:dyDescent="0.4">
      <c r="A113" s="262" t="s">
        <v>95</v>
      </c>
      <c r="B113" s="263">
        <v>1</v>
      </c>
      <c r="C113" s="409">
        <v>6</v>
      </c>
      <c r="D113" s="411">
        <v>1659206</v>
      </c>
      <c r="E113" s="389">
        <f t="shared" si="1"/>
        <v>195.39536800628218</v>
      </c>
      <c r="F113" s="416">
        <f t="shared" si="2"/>
        <v>97.697684003141092</v>
      </c>
    </row>
    <row r="114" spans="1:10" ht="27" customHeight="1" x14ac:dyDescent="0.4">
      <c r="A114" s="262" t="s">
        <v>96</v>
      </c>
      <c r="B114" s="263">
        <v>1</v>
      </c>
      <c r="C114" s="370"/>
      <c r="D114" s="329"/>
      <c r="E114" s="236"/>
      <c r="F114" s="417"/>
    </row>
    <row r="115" spans="1:10" ht="26.25" customHeight="1" x14ac:dyDescent="0.4">
      <c r="A115" s="262" t="s">
        <v>97</v>
      </c>
      <c r="B115" s="263">
        <v>1</v>
      </c>
      <c r="C115" s="370"/>
      <c r="D115" s="394" t="s">
        <v>66</v>
      </c>
      <c r="E115" s="396">
        <f>AVERAGE(E108:E113)</f>
        <v>195.555390173045</v>
      </c>
      <c r="F115" s="418">
        <f>AVERAGE(F108:F113)</f>
        <v>97.777695086522499</v>
      </c>
    </row>
    <row r="116" spans="1:10" ht="27" customHeight="1" x14ac:dyDescent="0.4">
      <c r="A116" s="262" t="s">
        <v>98</v>
      </c>
      <c r="B116" s="294">
        <f>(B115/B114)*(B113/B112)*(B111/B110)*(B109/B108)*B107</f>
        <v>900</v>
      </c>
      <c r="C116" s="371"/>
      <c r="D116" s="395" t="s">
        <v>79</v>
      </c>
      <c r="E116" s="393">
        <f>STDEV(E108:E113)/E115</f>
        <v>1.3798860099365178E-3</v>
      </c>
      <c r="F116" s="372">
        <f>STDEV(F108:F113)/F115</f>
        <v>1.3798860099365178E-3</v>
      </c>
      <c r="I116" s="236"/>
    </row>
    <row r="117" spans="1:10" ht="27" customHeight="1" x14ac:dyDescent="0.4">
      <c r="A117" s="636" t="s">
        <v>73</v>
      </c>
      <c r="B117" s="637"/>
      <c r="C117" s="373"/>
      <c r="D117" s="333" t="s">
        <v>19</v>
      </c>
      <c r="E117" s="398">
        <f>COUNT(E108:E113)</f>
        <v>6</v>
      </c>
      <c r="F117" s="399">
        <f>COUNT(F108:F113)</f>
        <v>6</v>
      </c>
      <c r="I117" s="236"/>
      <c r="J117" s="366"/>
    </row>
    <row r="118" spans="1:10" ht="26.25" customHeight="1" x14ac:dyDescent="0.3">
      <c r="A118" s="638"/>
      <c r="B118" s="639"/>
      <c r="C118" s="236"/>
      <c r="D118" s="397"/>
      <c r="E118" s="616" t="s">
        <v>118</v>
      </c>
      <c r="F118" s="617"/>
      <c r="G118" s="236"/>
      <c r="H118" s="236"/>
      <c r="I118" s="236"/>
    </row>
    <row r="119" spans="1:10" ht="25.5" customHeight="1" x14ac:dyDescent="0.4">
      <c r="A119" s="382"/>
      <c r="B119" s="258"/>
      <c r="C119" s="236"/>
      <c r="D119" s="395" t="s">
        <v>119</v>
      </c>
      <c r="E119" s="400">
        <f>MIN(E108:E113)</f>
        <v>195.26782918135581</v>
      </c>
      <c r="F119" s="419">
        <f>MIN(F108:F113)</f>
        <v>97.633914590677904</v>
      </c>
      <c r="G119" s="236"/>
      <c r="H119" s="236"/>
      <c r="I119" s="236"/>
    </row>
    <row r="120" spans="1:10" ht="24" customHeight="1" x14ac:dyDescent="0.4">
      <c r="A120" s="382"/>
      <c r="B120" s="258"/>
      <c r="C120" s="236"/>
      <c r="D120" s="305" t="s">
        <v>120</v>
      </c>
      <c r="E120" s="401">
        <f>MAX(E108:E113)</f>
        <v>195.91306022638963</v>
      </c>
      <c r="F120" s="420">
        <f>MAX(F108:F113)</f>
        <v>97.956530113194816</v>
      </c>
      <c r="G120" s="236"/>
      <c r="H120" s="236"/>
      <c r="I120" s="236"/>
    </row>
    <row r="121" spans="1:10" ht="27" customHeight="1" x14ac:dyDescent="0.3">
      <c r="A121" s="382"/>
      <c r="B121" s="258"/>
      <c r="C121" s="236"/>
      <c r="D121" s="236"/>
      <c r="E121" s="236"/>
      <c r="F121" s="329"/>
      <c r="G121" s="236"/>
      <c r="H121" s="236"/>
      <c r="I121" s="236"/>
    </row>
    <row r="122" spans="1:10" ht="25.5" customHeight="1" x14ac:dyDescent="0.3">
      <c r="A122" s="382"/>
      <c r="B122" s="258"/>
      <c r="C122" s="236"/>
      <c r="D122" s="236"/>
      <c r="E122" s="236"/>
      <c r="F122" s="329"/>
      <c r="G122" s="236"/>
      <c r="H122" s="236"/>
      <c r="I122" s="236"/>
    </row>
    <row r="123" spans="1:10" ht="18.75" x14ac:dyDescent="0.3">
      <c r="A123" s="382"/>
      <c r="B123" s="258"/>
      <c r="C123" s="236"/>
      <c r="D123" s="236"/>
      <c r="E123" s="236"/>
      <c r="F123" s="329"/>
      <c r="G123" s="236"/>
      <c r="H123" s="236"/>
      <c r="I123" s="236"/>
    </row>
    <row r="124" spans="1:10" ht="45.75" customHeight="1" x14ac:dyDescent="0.65">
      <c r="A124" s="246" t="s">
        <v>101</v>
      </c>
      <c r="B124" s="335" t="s">
        <v>121</v>
      </c>
      <c r="C124" s="648" t="str">
        <f>B26</f>
        <v>Nevirapine</v>
      </c>
      <c r="D124" s="648"/>
      <c r="E124" s="336" t="s">
        <v>122</v>
      </c>
      <c r="F124" s="336"/>
      <c r="G124" s="421">
        <f>F115</f>
        <v>97.777695086522499</v>
      </c>
      <c r="H124" s="236"/>
      <c r="I124" s="236"/>
    </row>
    <row r="125" spans="1:10" ht="45.75" customHeight="1" x14ac:dyDescent="0.65">
      <c r="A125" s="246"/>
      <c r="B125" s="335" t="s">
        <v>123</v>
      </c>
      <c r="C125" s="247" t="s">
        <v>124</v>
      </c>
      <c r="D125" s="421">
        <f>MIN(F108:F113)</f>
        <v>97.633914590677904</v>
      </c>
      <c r="E125" s="346" t="s">
        <v>125</v>
      </c>
      <c r="F125" s="421">
        <f>MAX(F108:F113)</f>
        <v>97.956530113194816</v>
      </c>
      <c r="G125" s="337"/>
      <c r="H125" s="236"/>
      <c r="I125" s="236"/>
    </row>
    <row r="126" spans="1:10" ht="19.5" customHeight="1" x14ac:dyDescent="0.3">
      <c r="A126" s="374"/>
      <c r="B126" s="374"/>
      <c r="C126" s="375"/>
      <c r="D126" s="375"/>
      <c r="E126" s="375"/>
      <c r="F126" s="375"/>
      <c r="G126" s="375"/>
      <c r="H126" s="375"/>
    </row>
    <row r="127" spans="1:10" ht="18.75" x14ac:dyDescent="0.3">
      <c r="B127" s="649" t="s">
        <v>21</v>
      </c>
      <c r="C127" s="649"/>
      <c r="E127" s="342" t="s">
        <v>22</v>
      </c>
      <c r="F127" s="376"/>
      <c r="G127" s="649" t="s">
        <v>23</v>
      </c>
      <c r="H127" s="649"/>
    </row>
    <row r="128" spans="1:10" ht="69.95" customHeight="1" x14ac:dyDescent="0.3">
      <c r="A128" s="377" t="s">
        <v>24</v>
      </c>
      <c r="B128" s="378"/>
      <c r="C128" s="378"/>
      <c r="E128" s="378"/>
      <c r="F128" s="236"/>
      <c r="G128" s="379"/>
      <c r="H128" s="379"/>
    </row>
    <row r="129" spans="1:9" ht="69.95" customHeight="1" x14ac:dyDescent="0.3">
      <c r="A129" s="377" t="s">
        <v>25</v>
      </c>
      <c r="B129" s="380"/>
      <c r="C129" s="380"/>
      <c r="E129" s="380"/>
      <c r="F129" s="236"/>
      <c r="G129" s="381"/>
      <c r="H129" s="381"/>
    </row>
    <row r="130" spans="1:9" ht="18.75" x14ac:dyDescent="0.3">
      <c r="A130" s="328"/>
      <c r="B130" s="328"/>
      <c r="C130" s="329"/>
      <c r="D130" s="329"/>
      <c r="E130" s="329"/>
      <c r="F130" s="332"/>
      <c r="G130" s="329"/>
      <c r="H130" s="329"/>
      <c r="I130" s="236"/>
    </row>
    <row r="131" spans="1:9" ht="18.75" x14ac:dyDescent="0.3">
      <c r="A131" s="328"/>
      <c r="B131" s="328"/>
      <c r="C131" s="329"/>
      <c r="D131" s="329"/>
      <c r="E131" s="329"/>
      <c r="F131" s="332"/>
      <c r="G131" s="329"/>
      <c r="H131" s="329"/>
      <c r="I131" s="236"/>
    </row>
    <row r="132" spans="1:9" ht="18.75" x14ac:dyDescent="0.3">
      <c r="A132" s="328"/>
      <c r="B132" s="328"/>
      <c r="C132" s="329"/>
      <c r="D132" s="329"/>
      <c r="E132" s="329"/>
      <c r="F132" s="332"/>
      <c r="G132" s="329"/>
      <c r="H132" s="329"/>
      <c r="I132" s="236"/>
    </row>
    <row r="133" spans="1:9" ht="18.75" x14ac:dyDescent="0.3">
      <c r="A133" s="328"/>
      <c r="B133" s="328"/>
      <c r="C133" s="329"/>
      <c r="D133" s="329"/>
      <c r="E133" s="329"/>
      <c r="F133" s="332"/>
      <c r="G133" s="329"/>
      <c r="H133" s="329"/>
      <c r="I133" s="236"/>
    </row>
    <row r="134" spans="1:9" ht="18.75" x14ac:dyDescent="0.3">
      <c r="A134" s="328"/>
      <c r="B134" s="328"/>
      <c r="C134" s="329"/>
      <c r="D134" s="329"/>
      <c r="E134" s="329"/>
      <c r="F134" s="332"/>
      <c r="G134" s="329"/>
      <c r="H134" s="329"/>
      <c r="I134" s="236"/>
    </row>
    <row r="135" spans="1:9" ht="18.75" x14ac:dyDescent="0.3">
      <c r="A135" s="328"/>
      <c r="B135" s="328"/>
      <c r="C135" s="329"/>
      <c r="D135" s="329"/>
      <c r="E135" s="329"/>
      <c r="F135" s="332"/>
      <c r="G135" s="329"/>
      <c r="H135" s="329"/>
      <c r="I135" s="236"/>
    </row>
    <row r="136" spans="1:9" ht="18.75" x14ac:dyDescent="0.3">
      <c r="A136" s="328"/>
      <c r="B136" s="328"/>
      <c r="C136" s="329"/>
      <c r="D136" s="329"/>
      <c r="E136" s="329"/>
      <c r="F136" s="332"/>
      <c r="G136" s="329"/>
      <c r="H136" s="329"/>
      <c r="I136" s="236"/>
    </row>
    <row r="137" spans="1:9" ht="18.75" x14ac:dyDescent="0.3">
      <c r="A137" s="328"/>
      <c r="B137" s="328"/>
      <c r="C137" s="329"/>
      <c r="D137" s="329"/>
      <c r="E137" s="329"/>
      <c r="F137" s="332"/>
      <c r="G137" s="329"/>
      <c r="H137" s="329"/>
      <c r="I137" s="236"/>
    </row>
    <row r="138" spans="1:9" ht="18.75" x14ac:dyDescent="0.3">
      <c r="A138" s="328"/>
      <c r="B138" s="328"/>
      <c r="C138" s="329"/>
      <c r="D138" s="329"/>
      <c r="E138" s="329"/>
      <c r="F138" s="332"/>
      <c r="G138" s="329"/>
      <c r="H138" s="329"/>
      <c r="I138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Uniformity</vt:lpstr>
      <vt:lpstr>SST Lam</vt:lpstr>
      <vt:lpstr>SST Zid</vt:lpstr>
      <vt:lpstr>SST Nev</vt:lpstr>
      <vt:lpstr>Lamivudine</vt:lpstr>
      <vt:lpstr>Zidovudine</vt:lpstr>
      <vt:lpstr>Nevirapine</vt:lpstr>
      <vt:lpstr>Lamivudine!Print_Area</vt:lpstr>
      <vt:lpstr>Nevirapine!Print_Area</vt:lpstr>
      <vt:lpstr>'SST Lam'!Print_Area</vt:lpstr>
      <vt:lpstr>'SST Nev'!Print_Area</vt:lpstr>
      <vt:lpstr>'SST Zid'!Print_Area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2017-03-23T08:03:32Z</cp:lastPrinted>
  <dcterms:created xsi:type="dcterms:W3CDTF">2005-07-05T10:19:27Z</dcterms:created>
  <dcterms:modified xsi:type="dcterms:W3CDTF">2017-03-23T09:44:15Z</dcterms:modified>
</cp:coreProperties>
</file>