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" sheetId="1" r:id="rId1"/>
    <sheet name="Uniformity" sheetId="2" r:id="rId2"/>
    <sheet name="Lopinavir" sheetId="3" r:id="rId3"/>
    <sheet name="Ritonavir" sheetId="4" r:id="rId4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E38" i="4" l="1"/>
  <c r="D51" i="4"/>
  <c r="G42" i="4"/>
  <c r="D50" i="4"/>
  <c r="B42" i="1" l="1"/>
  <c r="B21" i="1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D45" i="4" s="1"/>
  <c r="B30" i="4"/>
  <c r="C124" i="3"/>
  <c r="B116" i="3"/>
  <c r="D100" i="3" s="1"/>
  <c r="B98" i="3"/>
  <c r="F95" i="3"/>
  <c r="D95" i="3"/>
  <c r="B87" i="3"/>
  <c r="F97" i="3" s="1"/>
  <c r="F98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4" s="1"/>
  <c r="C45" i="2"/>
  <c r="D37" i="2"/>
  <c r="D33" i="2"/>
  <c r="D29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4" l="1"/>
  <c r="I92" i="3"/>
  <c r="D101" i="4"/>
  <c r="I39" i="4"/>
  <c r="F44" i="4"/>
  <c r="F45" i="4" s="1"/>
  <c r="F46" i="4" s="1"/>
  <c r="E41" i="4"/>
  <c r="F98" i="4"/>
  <c r="F99" i="4" s="1"/>
  <c r="D101" i="3"/>
  <c r="G94" i="3" s="1"/>
  <c r="D97" i="3"/>
  <c r="D98" i="3" s="1"/>
  <c r="I39" i="3"/>
  <c r="D49" i="3"/>
  <c r="F44" i="3"/>
  <c r="D45" i="3"/>
  <c r="E39" i="3" s="1"/>
  <c r="F45" i="3"/>
  <c r="G38" i="3" s="1"/>
  <c r="F99" i="3"/>
  <c r="D46" i="4"/>
  <c r="E39" i="4"/>
  <c r="G38" i="4"/>
  <c r="G41" i="4"/>
  <c r="B69" i="4"/>
  <c r="D27" i="2"/>
  <c r="D31" i="2"/>
  <c r="D35" i="2"/>
  <c r="D39" i="2"/>
  <c r="D43" i="2"/>
  <c r="C49" i="2"/>
  <c r="D97" i="4"/>
  <c r="D98" i="4" s="1"/>
  <c r="E92" i="4" s="1"/>
  <c r="D24" i="2"/>
  <c r="D28" i="2"/>
  <c r="D32" i="2"/>
  <c r="D36" i="2"/>
  <c r="D40" i="2"/>
  <c r="D49" i="2"/>
  <c r="B57" i="3"/>
  <c r="B69" i="3" s="1"/>
  <c r="E40" i="4"/>
  <c r="D49" i="4"/>
  <c r="C50" i="2"/>
  <c r="D41" i="2"/>
  <c r="D26" i="2"/>
  <c r="D30" i="2"/>
  <c r="D34" i="2"/>
  <c r="D38" i="2"/>
  <c r="D42" i="2"/>
  <c r="B49" i="2"/>
  <c r="D50" i="2"/>
  <c r="E40" i="3" l="1"/>
  <c r="E92" i="3"/>
  <c r="G92" i="3"/>
  <c r="G91" i="3"/>
  <c r="G94" i="4"/>
  <c r="D102" i="4"/>
  <c r="G91" i="4"/>
  <c r="E91" i="4"/>
  <c r="G93" i="4"/>
  <c r="G92" i="4"/>
  <c r="G40" i="4"/>
  <c r="G39" i="4"/>
  <c r="D102" i="3"/>
  <c r="G93" i="3"/>
  <c r="D46" i="3"/>
  <c r="E38" i="3"/>
  <c r="F46" i="3"/>
  <c r="E41" i="3"/>
  <c r="G39" i="3"/>
  <c r="G40" i="3"/>
  <c r="G41" i="3"/>
  <c r="D99" i="3"/>
  <c r="E93" i="3"/>
  <c r="E94" i="4"/>
  <c r="D99" i="4"/>
  <c r="E93" i="4"/>
  <c r="E42" i="4"/>
  <c r="E94" i="3"/>
  <c r="E91" i="3"/>
  <c r="G95" i="3" l="1"/>
  <c r="G95" i="4"/>
  <c r="D105" i="4"/>
  <c r="D52" i="4"/>
  <c r="D103" i="4"/>
  <c r="E109" i="4" s="1"/>
  <c r="F109" i="4" s="1"/>
  <c r="E95" i="4"/>
  <c r="E42" i="3"/>
  <c r="D52" i="3"/>
  <c r="G42" i="3"/>
  <c r="D50" i="3"/>
  <c r="G71" i="3" s="1"/>
  <c r="H71" i="3" s="1"/>
  <c r="E95" i="3"/>
  <c r="D105" i="3"/>
  <c r="D103" i="3"/>
  <c r="E112" i="4" l="1"/>
  <c r="F112" i="4" s="1"/>
  <c r="D104" i="4"/>
  <c r="E111" i="4"/>
  <c r="F111" i="4" s="1"/>
  <c r="E110" i="4"/>
  <c r="F110" i="4" s="1"/>
  <c r="E113" i="4"/>
  <c r="F113" i="4" s="1"/>
  <c r="E108" i="4"/>
  <c r="G63" i="4"/>
  <c r="H63" i="4" s="1"/>
  <c r="G65" i="4"/>
  <c r="H65" i="4" s="1"/>
  <c r="G60" i="4"/>
  <c r="G71" i="4"/>
  <c r="H71" i="4" s="1"/>
  <c r="G67" i="4"/>
  <c r="H67" i="4" s="1"/>
  <c r="G64" i="4"/>
  <c r="H64" i="4" s="1"/>
  <c r="G69" i="4"/>
  <c r="H69" i="4" s="1"/>
  <c r="G62" i="4"/>
  <c r="H62" i="4" s="1"/>
  <c r="G68" i="4"/>
  <c r="H68" i="4" s="1"/>
  <c r="G66" i="4"/>
  <c r="H66" i="4" s="1"/>
  <c r="G61" i="4"/>
  <c r="H61" i="4" s="1"/>
  <c r="G70" i="4"/>
  <c r="H70" i="4" s="1"/>
  <c r="G68" i="3"/>
  <c r="H68" i="3" s="1"/>
  <c r="D51" i="3"/>
  <c r="G63" i="3"/>
  <c r="H63" i="3" s="1"/>
  <c r="G70" i="3"/>
  <c r="H70" i="3" s="1"/>
  <c r="G61" i="3"/>
  <c r="H61" i="3" s="1"/>
  <c r="G64" i="3"/>
  <c r="H64" i="3" s="1"/>
  <c r="G66" i="3"/>
  <c r="H66" i="3" s="1"/>
  <c r="G65" i="3"/>
  <c r="H65" i="3" s="1"/>
  <c r="G60" i="3"/>
  <c r="H60" i="3" s="1"/>
  <c r="G69" i="3"/>
  <c r="H69" i="3" s="1"/>
  <c r="G67" i="3"/>
  <c r="H67" i="3" s="1"/>
  <c r="G62" i="3"/>
  <c r="H62" i="3" s="1"/>
  <c r="H60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20" i="4" l="1"/>
  <c r="E115" i="4"/>
  <c r="E116" i="4" s="1"/>
  <c r="F108" i="4"/>
  <c r="F120" i="4" s="1"/>
  <c r="E117" i="4"/>
  <c r="E119" i="4"/>
  <c r="G74" i="4"/>
  <c r="G72" i="4"/>
  <c r="G73" i="4" s="1"/>
  <c r="G72" i="3"/>
  <c r="G73" i="3" s="1"/>
  <c r="G74" i="3"/>
  <c r="H74" i="3"/>
  <c r="H72" i="3"/>
  <c r="E115" i="3"/>
  <c r="E116" i="3" s="1"/>
  <c r="E119" i="3"/>
  <c r="E120" i="3"/>
  <c r="E117" i="3"/>
  <c r="F108" i="3"/>
  <c r="H74" i="4"/>
  <c r="H72" i="4"/>
  <c r="F125" i="4"/>
  <c r="F117" i="4" l="1"/>
  <c r="F115" i="4"/>
  <c r="F116" i="4" s="1"/>
  <c r="D125" i="4"/>
  <c r="F119" i="4"/>
  <c r="F119" i="3"/>
  <c r="F125" i="3"/>
  <c r="F120" i="3"/>
  <c r="F117" i="3"/>
  <c r="D125" i="3"/>
  <c r="F115" i="3"/>
  <c r="G76" i="3"/>
  <c r="H73" i="3"/>
  <c r="G76" i="4"/>
  <c r="H73" i="4"/>
  <c r="G124" i="4" l="1"/>
  <c r="G124" i="3"/>
  <c r="F116" i="3"/>
</calcChain>
</file>

<file path=xl/sharedStrings.xml><?xml version="1.0" encoding="utf-8"?>
<sst xmlns="http://schemas.openxmlformats.org/spreadsheetml/2006/main" count="405" uniqueCount="135">
  <si>
    <t>HPLC System Suitability Report</t>
  </si>
  <si>
    <t>Analysis Data</t>
  </si>
  <si>
    <t>Assay</t>
  </si>
  <si>
    <t>Sample(s)</t>
  </si>
  <si>
    <t>Reference Substance:</t>
  </si>
  <si>
    <t>LOPINAVIR/ RITONAVIR 200 MG/50 MG TABLETS</t>
  </si>
  <si>
    <t>% age Purity:</t>
  </si>
  <si>
    <t>NDQB201612299r1</t>
  </si>
  <si>
    <t>Weight (mg):</t>
  </si>
  <si>
    <t>Lopinavir USP 200 mg Ritonavir USP 50 mg</t>
  </si>
  <si>
    <t>Standard Conc (mg/mL):</t>
  </si>
  <si>
    <t>Each film coated tablets contains lopinavir USP 200 mg ritonavir USP 50 mg</t>
  </si>
  <si>
    <t>2016-12-15 10:31:53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</si>
  <si>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</si>
  <si>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</si>
  <si>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</si>
  <si>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</si>
  <si>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</si>
  <si>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</si>
  <si>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</si>
  <si>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</si>
  <si>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</si>
  <si>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</si>
  <si>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</si>
  <si>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</si>
  <si>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</si>
  <si>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</si>
  <si>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</si>
  <si>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</si>
  <si>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</si>
  <si>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</si>
  <si>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</si>
  <si>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</si>
  <si>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</si>
  <si>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</si>
  <si>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</si>
  <si>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</si>
  <si>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</si>
  <si>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</si>
  <si>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</si>
  <si>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</si>
  <si>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</si>
  <si>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</si>
  <si>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</si>
  <si>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</si>
  <si>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</si>
  <si>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</si>
  <si>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</si>
  <si>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</si>
  <si>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</si>
  <si>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</si>
  <si>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</si>
  <si>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</si>
  <si>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</si>
  <si>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</si>
  <si>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</si>
  <si>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</si>
  <si>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</si>
  <si>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</si>
  <si>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</si>
  <si>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</si>
  <si>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</si>
  <si>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</si>
  <si>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</si>
  <si>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</si>
  <si>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</si>
  <si>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</si>
  <si>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</si>
  <si>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</si>
  <si>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</si>
  <si>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</si>
  <si>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</si>
  <si>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</si>
  <si>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</si>
  <si>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</si>
  <si>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</si>
  <si>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</si>
  <si>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</si>
  <si>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</si>
  <si>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</si>
  <si>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</si>
  <si>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</si>
  <si>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</si>
  <si>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</si>
  <si>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</si>
  <si>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</si>
  <si>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</si>
  <si>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</si>
  <si>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</si>
  <si>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</si>
  <si>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</si>
  <si>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</si>
  <si>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</si>
  <si>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</si>
  <si>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</si>
  <si>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</si>
  <si>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</si>
  <si>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</si>
  <si>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</si>
  <si>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</si>
  <si>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</si>
  <si>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</si>
  <si>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</si>
  <si>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</si>
  <si>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</si>
  <si>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</si>
  <si>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</si>
  <si>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</si>
  <si>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</si>
  <si>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</si>
  <si>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</si>
  <si>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</si>
  <si>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</si>
  <si>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</si>
  <si>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</si>
  <si>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</si>
  <si>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</si>
  <si>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</si>
  <si>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</si>
  <si>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</si>
  <si>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</si>
  <si>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</si>
  <si>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</si>
  <si>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</si>
  <si>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</si>
  <si>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</si>
  <si>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</si>
  <si>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</si>
  <si>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</si>
  <si>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</si>
  <si>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LOPINAVIR</t>
  </si>
  <si>
    <t>RITONAVIR</t>
  </si>
  <si>
    <t>L20 2</t>
  </si>
  <si>
    <t>R14 2</t>
  </si>
  <si>
    <t xml:space="preserve"> Ritonavir USP 50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</si>
</sst>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7" workbookViewId="0">
      <selection activeCell="C21" sqref="C2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2" t="s">
        <v>0</v>
      </c>
      <c r="B15" s="472"/>
      <c r="C15" s="472"/>
      <c r="D15" s="472"/>
      <c r="E15" s="47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130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</v>
      </c>
      <c r="C19" s="10"/>
      <c r="D19" s="10"/>
      <c r="E19" s="10"/>
    </row>
    <row r="20" spans="1:6" ht="16.5" customHeight="1" x14ac:dyDescent="0.3">
      <c r="A20" s="7" t="s">
        <v>8</v>
      </c>
      <c r="B20" s="12">
        <v>18.07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B20/20</f>
        <v>0.90349999999999997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53706861</v>
      </c>
      <c r="C24" s="18">
        <v>3728.77</v>
      </c>
      <c r="D24" s="19">
        <v>0.85</v>
      </c>
      <c r="E24" s="20">
        <v>5.57</v>
      </c>
    </row>
    <row r="25" spans="1:6" ht="16.5" customHeight="1" x14ac:dyDescent="0.3">
      <c r="A25" s="17">
        <v>2</v>
      </c>
      <c r="B25" s="18">
        <v>53910884</v>
      </c>
      <c r="C25" s="18">
        <v>3712.96</v>
      </c>
      <c r="D25" s="19">
        <v>0.84</v>
      </c>
      <c r="E25" s="19">
        <v>5.58</v>
      </c>
    </row>
    <row r="26" spans="1:6" ht="16.5" customHeight="1" x14ac:dyDescent="0.3">
      <c r="A26" s="17">
        <v>3</v>
      </c>
      <c r="B26" s="18">
        <v>53911233</v>
      </c>
      <c r="C26" s="18">
        <v>3680.94</v>
      </c>
      <c r="D26" s="19">
        <v>0.85</v>
      </c>
      <c r="E26" s="19">
        <v>5.58</v>
      </c>
    </row>
    <row r="27" spans="1:6" ht="16.5" customHeight="1" x14ac:dyDescent="0.3">
      <c r="A27" s="17">
        <v>4</v>
      </c>
      <c r="B27" s="18">
        <v>53921585</v>
      </c>
      <c r="C27" s="18">
        <v>3687.73</v>
      </c>
      <c r="D27" s="19">
        <v>0.84</v>
      </c>
      <c r="E27" s="19">
        <v>5.58</v>
      </c>
    </row>
    <row r="28" spans="1:6" ht="16.5" customHeight="1" x14ac:dyDescent="0.3">
      <c r="A28" s="17">
        <v>5</v>
      </c>
      <c r="B28" s="18">
        <v>53913907</v>
      </c>
      <c r="C28" s="18">
        <v>3702.09</v>
      </c>
      <c r="D28" s="19">
        <v>0.84</v>
      </c>
      <c r="E28" s="19">
        <v>5.58</v>
      </c>
    </row>
    <row r="29" spans="1:6" ht="16.5" customHeight="1" x14ac:dyDescent="0.3">
      <c r="A29" s="17">
        <v>6</v>
      </c>
      <c r="B29" s="21">
        <v>53848158</v>
      </c>
      <c r="C29" s="21">
        <v>3718.53</v>
      </c>
      <c r="D29" s="22">
        <v>0.85</v>
      </c>
      <c r="E29" s="22">
        <v>5.58</v>
      </c>
    </row>
    <row r="30" spans="1:6" ht="16.5" customHeight="1" x14ac:dyDescent="0.3">
      <c r="A30" s="23" t="s">
        <v>18</v>
      </c>
      <c r="B30" s="24">
        <f>AVERAGE(B24:B29)</f>
        <v>53868771.333333336</v>
      </c>
      <c r="C30" s="25">
        <f>AVERAGE(C24:C29)</f>
        <v>3705.1699999999996</v>
      </c>
      <c r="D30" s="26">
        <f>AVERAGE(D24:D29)</f>
        <v>0.84499999999999986</v>
      </c>
      <c r="E30" s="26">
        <f>AVERAGE(E24:E29)</f>
        <v>5.5783333333333331</v>
      </c>
    </row>
    <row r="31" spans="1:6" ht="16.5" customHeight="1" x14ac:dyDescent="0.3">
      <c r="A31" s="27" t="s">
        <v>19</v>
      </c>
      <c r="B31" s="28">
        <f>(STDEV(B24:B29)/B30)</f>
        <v>1.554095203672127E-3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99.4</v>
      </c>
      <c r="C40" s="10"/>
      <c r="D40" s="10"/>
      <c r="E40" s="10"/>
    </row>
    <row r="41" spans="1:6" ht="16.5" customHeight="1" x14ac:dyDescent="0.3">
      <c r="A41" s="7" t="s">
        <v>8</v>
      </c>
      <c r="B41" s="12">
        <v>11.16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B41/25*10/20</f>
        <v>0.22320000000000001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12884223</v>
      </c>
      <c r="C45" s="18">
        <v>5225.71</v>
      </c>
      <c r="D45" s="19">
        <v>0.95</v>
      </c>
      <c r="E45" s="20">
        <v>7.41</v>
      </c>
    </row>
    <row r="46" spans="1:6" ht="16.5" customHeight="1" x14ac:dyDescent="0.3">
      <c r="A46" s="17">
        <v>2</v>
      </c>
      <c r="B46" s="18">
        <v>12919354</v>
      </c>
      <c r="C46" s="18">
        <v>5215.75</v>
      </c>
      <c r="D46" s="19">
        <v>0.94</v>
      </c>
      <c r="E46" s="19">
        <v>7.42</v>
      </c>
    </row>
    <row r="47" spans="1:6" ht="16.5" customHeight="1" x14ac:dyDescent="0.3">
      <c r="A47" s="17">
        <v>3</v>
      </c>
      <c r="B47" s="18">
        <v>12906755</v>
      </c>
      <c r="C47" s="18">
        <v>5234.66</v>
      </c>
      <c r="D47" s="19">
        <v>0.95</v>
      </c>
      <c r="E47" s="19">
        <v>7.41</v>
      </c>
    </row>
    <row r="48" spans="1:6" ht="16.5" customHeight="1" x14ac:dyDescent="0.3">
      <c r="A48" s="17">
        <v>4</v>
      </c>
      <c r="B48" s="18">
        <v>12908685</v>
      </c>
      <c r="C48" s="18">
        <v>5245.42</v>
      </c>
      <c r="D48" s="19">
        <v>0.94</v>
      </c>
      <c r="E48" s="19">
        <v>7.41</v>
      </c>
    </row>
    <row r="49" spans="1:7" ht="16.5" customHeight="1" x14ac:dyDescent="0.3">
      <c r="A49" s="17">
        <v>5</v>
      </c>
      <c r="B49" s="18">
        <v>12886016</v>
      </c>
      <c r="C49" s="18">
        <v>5257.3</v>
      </c>
      <c r="D49" s="19">
        <v>0.94</v>
      </c>
      <c r="E49" s="19">
        <v>7.42</v>
      </c>
    </row>
    <row r="50" spans="1:7" ht="16.5" customHeight="1" x14ac:dyDescent="0.3">
      <c r="A50" s="17">
        <v>6</v>
      </c>
      <c r="B50" s="21">
        <v>12893026</v>
      </c>
      <c r="C50" s="21">
        <v>5264.49</v>
      </c>
      <c r="D50" s="22">
        <v>0.94</v>
      </c>
      <c r="E50" s="22">
        <v>7.41</v>
      </c>
    </row>
    <row r="51" spans="1:7" ht="16.5" customHeight="1" x14ac:dyDescent="0.3">
      <c r="A51" s="23" t="s">
        <v>18</v>
      </c>
      <c r="B51" s="24">
        <f>AVERAGE(B45:B50)</f>
        <v>12899676.5</v>
      </c>
      <c r="C51" s="25">
        <f>AVERAGE(C45:C50)</f>
        <v>5240.5550000000003</v>
      </c>
      <c r="D51" s="26">
        <f>AVERAGE(D45:D50)</f>
        <v>0.94333333333333336</v>
      </c>
      <c r="E51" s="26">
        <f>AVERAGE(E45:E50)</f>
        <v>7.413333333333334</v>
      </c>
    </row>
    <row r="52" spans="1:7" ht="16.5" customHeight="1" x14ac:dyDescent="0.3">
      <c r="A52" s="27" t="s">
        <v>19</v>
      </c>
      <c r="B52" s="28">
        <f>(STDEV(B45:B50)/B51)</f>
        <v>1.0897807058350294E-3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3" t="s">
        <v>25</v>
      </c>
      <c r="C59" s="473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7" t="s">
        <v>30</v>
      </c>
      <c r="B11" s="478"/>
      <c r="C11" s="478"/>
      <c r="D11" s="478"/>
      <c r="E11" s="478"/>
      <c r="F11" s="479"/>
      <c r="G11" s="91"/>
    </row>
    <row r="12" spans="1:7" ht="16.5" customHeight="1" x14ac:dyDescent="0.3">
      <c r="A12" s="476" t="s">
        <v>31</v>
      </c>
      <c r="B12" s="476"/>
      <c r="C12" s="476"/>
      <c r="D12" s="476"/>
      <c r="E12" s="476"/>
      <c r="F12" s="476"/>
      <c r="G12" s="90"/>
    </row>
    <row r="14" spans="1:7" ht="16.5" customHeight="1" x14ac:dyDescent="0.3">
      <c r="A14" s="481" t="s">
        <v>32</v>
      </c>
      <c r="B14" s="481"/>
      <c r="C14" s="60" t="s">
        <v>5</v>
      </c>
    </row>
    <row r="15" spans="1:7" ht="16.5" customHeight="1" x14ac:dyDescent="0.3">
      <c r="A15" s="481" t="s">
        <v>33</v>
      </c>
      <c r="B15" s="481"/>
      <c r="C15" s="60" t="s">
        <v>7</v>
      </c>
    </row>
    <row r="16" spans="1:7" ht="16.5" customHeight="1" x14ac:dyDescent="0.3">
      <c r="A16" s="481" t="s">
        <v>34</v>
      </c>
      <c r="B16" s="481"/>
      <c r="C16" s="60" t="s">
        <v>9</v>
      </c>
    </row>
    <row r="17" spans="1:5" ht="16.5" customHeight="1" x14ac:dyDescent="0.3">
      <c r="A17" s="481" t="s">
        <v>35</v>
      </c>
      <c r="B17" s="481"/>
      <c r="C17" s="60" t="s">
        <v>11</v>
      </c>
    </row>
    <row r="18" spans="1:5" ht="16.5" customHeight="1" x14ac:dyDescent="0.3">
      <c r="A18" s="481" t="s">
        <v>36</v>
      </c>
      <c r="B18" s="481"/>
      <c r="C18" s="97" t="s">
        <v>12</v>
      </c>
    </row>
    <row r="19" spans="1:5" ht="16.5" customHeight="1" x14ac:dyDescent="0.3">
      <c r="A19" s="481" t="s">
        <v>37</v>
      </c>
      <c r="B19" s="48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6" t="s">
        <v>1</v>
      </c>
      <c r="B21" s="476"/>
      <c r="C21" s="59" t="s">
        <v>38</v>
      </c>
      <c r="D21" s="66"/>
    </row>
    <row r="22" spans="1:5" ht="15.75" customHeight="1" x14ac:dyDescent="0.3">
      <c r="A22" s="480"/>
      <c r="B22" s="480"/>
      <c r="C22" s="57"/>
      <c r="D22" s="480"/>
      <c r="E22" s="480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1246.94</v>
      </c>
      <c r="D24" s="87">
        <f t="shared" ref="D24:D43" si="0">(C24-$C$46)/$C$46</f>
        <v>-5.2702472544894578E-3</v>
      </c>
      <c r="E24" s="53"/>
    </row>
    <row r="25" spans="1:5" ht="15.75" customHeight="1" x14ac:dyDescent="0.3">
      <c r="C25" s="95">
        <v>1244.3599999999999</v>
      </c>
      <c r="D25" s="88">
        <f t="shared" si="0"/>
        <v>-7.3284078412727601E-3</v>
      </c>
      <c r="E25" s="53"/>
    </row>
    <row r="26" spans="1:5" ht="15.75" customHeight="1" x14ac:dyDescent="0.3">
      <c r="C26" s="95">
        <v>1249.52</v>
      </c>
      <c r="D26" s="88">
        <f t="shared" si="0"/>
        <v>-3.2120866677063371E-3</v>
      </c>
      <c r="E26" s="53"/>
    </row>
    <row r="27" spans="1:5" ht="15.75" customHeight="1" x14ac:dyDescent="0.3">
      <c r="C27" s="95">
        <v>1252.8</v>
      </c>
      <c r="D27" s="88">
        <f t="shared" si="0"/>
        <v>-5.9551041784247259E-4</v>
      </c>
      <c r="E27" s="53"/>
    </row>
    <row r="28" spans="1:5" ht="15.75" customHeight="1" x14ac:dyDescent="0.3">
      <c r="C28" s="95">
        <v>1254.08</v>
      </c>
      <c r="D28" s="88">
        <f t="shared" si="0"/>
        <v>4.2559250893365637E-4</v>
      </c>
      <c r="E28" s="53"/>
    </row>
    <row r="29" spans="1:5" ht="15.75" customHeight="1" x14ac:dyDescent="0.3">
      <c r="C29" s="95">
        <v>1254.3</v>
      </c>
      <c r="D29" s="88">
        <f t="shared" si="0"/>
        <v>6.0109457447332908E-4</v>
      </c>
      <c r="E29" s="53"/>
    </row>
    <row r="30" spans="1:5" ht="15.75" customHeight="1" x14ac:dyDescent="0.3">
      <c r="C30" s="95">
        <v>1253.95</v>
      </c>
      <c r="D30" s="88">
        <f t="shared" si="0"/>
        <v>3.2188674293304789E-4</v>
      </c>
      <c r="E30" s="53"/>
    </row>
    <row r="31" spans="1:5" ht="15.75" customHeight="1" x14ac:dyDescent="0.3">
      <c r="C31" s="95">
        <v>1253.56</v>
      </c>
      <c r="D31" s="88">
        <f t="shared" si="0"/>
        <v>1.0769444930859628E-5</v>
      </c>
      <c r="E31" s="53"/>
    </row>
    <row r="32" spans="1:5" ht="15.75" customHeight="1" x14ac:dyDescent="0.3">
      <c r="C32" s="95">
        <v>1264.5999999999999</v>
      </c>
      <c r="D32" s="88">
        <f t="shared" si="0"/>
        <v>8.8177821883751312E-3</v>
      </c>
      <c r="E32" s="53"/>
    </row>
    <row r="33" spans="1:7" ht="15.75" customHeight="1" x14ac:dyDescent="0.3">
      <c r="C33" s="95">
        <v>1248.6600000000001</v>
      </c>
      <c r="D33" s="88">
        <f t="shared" si="0"/>
        <v>-3.8981401966339839E-3</v>
      </c>
      <c r="E33" s="53"/>
    </row>
    <row r="34" spans="1:7" ht="15.75" customHeight="1" x14ac:dyDescent="0.3">
      <c r="C34" s="95">
        <v>1259.1600000000001</v>
      </c>
      <c r="D34" s="88">
        <f t="shared" si="0"/>
        <v>4.4780947495766284E-3</v>
      </c>
      <c r="E34" s="53"/>
    </row>
    <row r="35" spans="1:7" ht="15.75" customHeight="1" x14ac:dyDescent="0.3">
      <c r="C35" s="95">
        <v>1252.22</v>
      </c>
      <c r="D35" s="88">
        <f t="shared" si="0"/>
        <v>-1.0581976815378579E-3</v>
      </c>
      <c r="E35" s="53"/>
    </row>
    <row r="36" spans="1:7" ht="15.75" customHeight="1" x14ac:dyDescent="0.3">
      <c r="C36" s="95">
        <v>1261.4000000000001</v>
      </c>
      <c r="D36" s="88">
        <f t="shared" si="0"/>
        <v>6.2650248714348992E-3</v>
      </c>
      <c r="E36" s="53"/>
    </row>
    <row r="37" spans="1:7" ht="15.75" customHeight="1" x14ac:dyDescent="0.3">
      <c r="C37" s="95">
        <v>1258.58</v>
      </c>
      <c r="D37" s="88">
        <f t="shared" si="0"/>
        <v>4.0154074858810614E-3</v>
      </c>
      <c r="E37" s="53"/>
    </row>
    <row r="38" spans="1:7" ht="15.75" customHeight="1" x14ac:dyDescent="0.3">
      <c r="C38" s="95">
        <v>1244.1500000000001</v>
      </c>
      <c r="D38" s="88">
        <f t="shared" si="0"/>
        <v>-7.4959325401968199E-3</v>
      </c>
      <c r="E38" s="53"/>
    </row>
    <row r="39" spans="1:7" ht="15.75" customHeight="1" x14ac:dyDescent="0.3">
      <c r="C39" s="95">
        <v>1247.81</v>
      </c>
      <c r="D39" s="88">
        <f t="shared" si="0"/>
        <v>-4.5762163589463806E-3</v>
      </c>
      <c r="E39" s="53"/>
    </row>
    <row r="40" spans="1:7" ht="15.75" customHeight="1" x14ac:dyDescent="0.3">
      <c r="C40" s="95">
        <v>1250.07</v>
      </c>
      <c r="D40" s="88">
        <f t="shared" si="0"/>
        <v>-2.7733315038572463E-3</v>
      </c>
      <c r="E40" s="53"/>
    </row>
    <row r="41" spans="1:7" ht="15.75" customHeight="1" x14ac:dyDescent="0.3">
      <c r="C41" s="95">
        <v>1261.19</v>
      </c>
      <c r="D41" s="88">
        <f t="shared" si="0"/>
        <v>6.0975001725106582E-3</v>
      </c>
      <c r="E41" s="53"/>
    </row>
    <row r="42" spans="1:7" ht="15.75" customHeight="1" x14ac:dyDescent="0.3">
      <c r="C42" s="95">
        <v>1259.99</v>
      </c>
      <c r="D42" s="88">
        <f t="shared" si="0"/>
        <v>5.1402161786579803E-3</v>
      </c>
      <c r="E42" s="53"/>
    </row>
    <row r="43" spans="1:7" ht="16.5" customHeight="1" x14ac:dyDescent="0.3">
      <c r="C43" s="96">
        <v>1253.5899999999999</v>
      </c>
      <c r="D43" s="89">
        <f t="shared" si="0"/>
        <v>3.4701544777153895E-5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25070.93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1253.5464999999999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474">
        <f>C46</f>
        <v>1253.5464999999999</v>
      </c>
      <c r="C49" s="93">
        <f>-IF(C46&lt;=80,10%,IF(C46&lt;250,7.5%,5%))</f>
        <v>-0.05</v>
      </c>
      <c r="D49" s="81">
        <f>IF(C46&lt;=80,C46*0.9,IF(C46&lt;250,C46*0.925,C46*0.95))</f>
        <v>1190.8691749999998</v>
      </c>
    </row>
    <row r="50" spans="1:6" ht="17.25" customHeight="1" x14ac:dyDescent="0.3">
      <c r="B50" s="475"/>
      <c r="C50" s="94">
        <f>IF(C46&lt;=80, 10%, IF(C46&lt;250, 7.5%, 5%))</f>
        <v>0.05</v>
      </c>
      <c r="D50" s="81">
        <f>IF(C46&lt;=80, C46*1.1, IF(C46&lt;250, C46*1.075, C46*1.05))</f>
        <v>1316.223825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81" zoomScale="50" zoomScaleNormal="40" zoomScaleSheetLayoutView="50" zoomScalePageLayoutView="55" workbookViewId="0">
      <selection activeCell="D96" sqref="D9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2" t="s">
        <v>44</v>
      </c>
      <c r="B1" s="512"/>
      <c r="C1" s="512"/>
      <c r="D1" s="512"/>
      <c r="E1" s="512"/>
      <c r="F1" s="512"/>
      <c r="G1" s="512"/>
      <c r="H1" s="512"/>
      <c r="I1" s="512"/>
    </row>
    <row r="2" spans="1:9" ht="18.75" customHeight="1" x14ac:dyDescent="0.25">
      <c r="A2" s="512"/>
      <c r="B2" s="512"/>
      <c r="C2" s="512"/>
      <c r="D2" s="512"/>
      <c r="E2" s="512"/>
      <c r="F2" s="512"/>
      <c r="G2" s="512"/>
      <c r="H2" s="512"/>
      <c r="I2" s="512"/>
    </row>
    <row r="3" spans="1:9" ht="18.75" customHeight="1" x14ac:dyDescent="0.25">
      <c r="A3" s="512"/>
      <c r="B3" s="512"/>
      <c r="C3" s="512"/>
      <c r="D3" s="512"/>
      <c r="E3" s="512"/>
      <c r="F3" s="512"/>
      <c r="G3" s="512"/>
      <c r="H3" s="512"/>
      <c r="I3" s="512"/>
    </row>
    <row r="4" spans="1:9" ht="18.75" customHeight="1" x14ac:dyDescent="0.25">
      <c r="A4" s="512"/>
      <c r="B4" s="512"/>
      <c r="C4" s="512"/>
      <c r="D4" s="512"/>
      <c r="E4" s="512"/>
      <c r="F4" s="512"/>
      <c r="G4" s="512"/>
      <c r="H4" s="512"/>
      <c r="I4" s="512"/>
    </row>
    <row r="5" spans="1:9" ht="18.75" customHeight="1" x14ac:dyDescent="0.25">
      <c r="A5" s="512"/>
      <c r="B5" s="512"/>
      <c r="C5" s="512"/>
      <c r="D5" s="512"/>
      <c r="E5" s="512"/>
      <c r="F5" s="512"/>
      <c r="G5" s="512"/>
      <c r="H5" s="512"/>
      <c r="I5" s="512"/>
    </row>
    <row r="6" spans="1:9" ht="18.75" customHeight="1" x14ac:dyDescent="0.25">
      <c r="A6" s="512"/>
      <c r="B6" s="512"/>
      <c r="C6" s="512"/>
      <c r="D6" s="512"/>
      <c r="E6" s="512"/>
      <c r="F6" s="512"/>
      <c r="G6" s="512"/>
      <c r="H6" s="512"/>
      <c r="I6" s="512"/>
    </row>
    <row r="7" spans="1:9" ht="18.75" customHeight="1" x14ac:dyDescent="0.25">
      <c r="A7" s="512"/>
      <c r="B7" s="512"/>
      <c r="C7" s="512"/>
      <c r="D7" s="512"/>
      <c r="E7" s="512"/>
      <c r="F7" s="512"/>
      <c r="G7" s="512"/>
      <c r="H7" s="512"/>
      <c r="I7" s="512"/>
    </row>
    <row r="8" spans="1:9" x14ac:dyDescent="0.25">
      <c r="A8" s="513" t="s">
        <v>45</v>
      </c>
      <c r="B8" s="513"/>
      <c r="C8" s="513"/>
      <c r="D8" s="513"/>
      <c r="E8" s="513"/>
      <c r="F8" s="513"/>
      <c r="G8" s="513"/>
      <c r="H8" s="513"/>
      <c r="I8" s="513"/>
    </row>
    <row r="9" spans="1:9" x14ac:dyDescent="0.25">
      <c r="A9" s="513"/>
      <c r="B9" s="513"/>
      <c r="C9" s="513"/>
      <c r="D9" s="513"/>
      <c r="E9" s="513"/>
      <c r="F9" s="513"/>
      <c r="G9" s="513"/>
      <c r="H9" s="513"/>
      <c r="I9" s="513"/>
    </row>
    <row r="10" spans="1:9" x14ac:dyDescent="0.25">
      <c r="A10" s="513"/>
      <c r="B10" s="513"/>
      <c r="C10" s="513"/>
      <c r="D10" s="513"/>
      <c r="E10" s="513"/>
      <c r="F10" s="513"/>
      <c r="G10" s="513"/>
      <c r="H10" s="513"/>
      <c r="I10" s="513"/>
    </row>
    <row r="11" spans="1:9" x14ac:dyDescent="0.25">
      <c r="A11" s="513"/>
      <c r="B11" s="513"/>
      <c r="C11" s="513"/>
      <c r="D11" s="513"/>
      <c r="E11" s="513"/>
      <c r="F11" s="513"/>
      <c r="G11" s="513"/>
      <c r="H11" s="513"/>
      <c r="I11" s="513"/>
    </row>
    <row r="12" spans="1:9" x14ac:dyDescent="0.25">
      <c r="A12" s="513"/>
      <c r="B12" s="513"/>
      <c r="C12" s="513"/>
      <c r="D12" s="513"/>
      <c r="E12" s="513"/>
      <c r="F12" s="513"/>
      <c r="G12" s="513"/>
      <c r="H12" s="513"/>
      <c r="I12" s="513"/>
    </row>
    <row r="13" spans="1:9" x14ac:dyDescent="0.25">
      <c r="A13" s="513"/>
      <c r="B13" s="513"/>
      <c r="C13" s="513"/>
      <c r="D13" s="513"/>
      <c r="E13" s="513"/>
      <c r="F13" s="513"/>
      <c r="G13" s="513"/>
      <c r="H13" s="513"/>
      <c r="I13" s="513"/>
    </row>
    <row r="14" spans="1:9" x14ac:dyDescent="0.25">
      <c r="A14" s="513"/>
      <c r="B14" s="513"/>
      <c r="C14" s="513"/>
      <c r="D14" s="513"/>
      <c r="E14" s="513"/>
      <c r="F14" s="513"/>
      <c r="G14" s="513"/>
      <c r="H14" s="513"/>
      <c r="I14" s="513"/>
    </row>
    <row r="15" spans="1:9" ht="19.5" customHeight="1" x14ac:dyDescent="0.3">
      <c r="A15" s="98"/>
    </row>
    <row r="16" spans="1:9" ht="19.5" customHeight="1" x14ac:dyDescent="0.3">
      <c r="A16" s="485" t="s">
        <v>30</v>
      </c>
      <c r="B16" s="486"/>
      <c r="C16" s="486"/>
      <c r="D16" s="486"/>
      <c r="E16" s="486"/>
      <c r="F16" s="486"/>
      <c r="G16" s="486"/>
      <c r="H16" s="487"/>
    </row>
    <row r="17" spans="1:14" ht="20.25" customHeight="1" x14ac:dyDescent="0.25">
      <c r="A17" s="488" t="s">
        <v>46</v>
      </c>
      <c r="B17" s="488"/>
      <c r="C17" s="488"/>
      <c r="D17" s="488"/>
      <c r="E17" s="488"/>
      <c r="F17" s="488"/>
      <c r="G17" s="488"/>
      <c r="H17" s="488"/>
    </row>
    <row r="18" spans="1:14" ht="26.25" customHeight="1" x14ac:dyDescent="0.4">
      <c r="A18" s="100" t="s">
        <v>32</v>
      </c>
      <c r="B18" s="484" t="s">
        <v>5</v>
      </c>
      <c r="C18" s="484"/>
      <c r="D18" s="246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489" t="s">
        <v>9</v>
      </c>
      <c r="C20" s="489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489" t="s">
        <v>11</v>
      </c>
      <c r="C21" s="489"/>
      <c r="D21" s="489"/>
      <c r="E21" s="489"/>
      <c r="F21" s="489"/>
      <c r="G21" s="489"/>
      <c r="H21" s="489"/>
      <c r="I21" s="104"/>
    </row>
    <row r="22" spans="1:14" ht="26.25" customHeight="1" x14ac:dyDescent="0.4">
      <c r="A22" s="100" t="s">
        <v>36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84" t="s">
        <v>130</v>
      </c>
      <c r="C26" s="484"/>
    </row>
    <row r="27" spans="1:14" ht="26.25" customHeight="1" x14ac:dyDescent="0.4">
      <c r="A27" s="109" t="s">
        <v>47</v>
      </c>
      <c r="B27" s="490" t="s">
        <v>132</v>
      </c>
      <c r="C27" s="490"/>
    </row>
    <row r="28" spans="1:14" ht="27" customHeight="1" x14ac:dyDescent="0.4">
      <c r="A28" s="109" t="s">
        <v>6</v>
      </c>
      <c r="B28" s="110">
        <v>99.8</v>
      </c>
    </row>
    <row r="29" spans="1:14" s="14" customFormat="1" ht="27" customHeight="1" x14ac:dyDescent="0.4">
      <c r="A29" s="109" t="s">
        <v>48</v>
      </c>
      <c r="B29" s="111">
        <v>0</v>
      </c>
      <c r="C29" s="491" t="s">
        <v>49</v>
      </c>
      <c r="D29" s="492"/>
      <c r="E29" s="492"/>
      <c r="F29" s="492"/>
      <c r="G29" s="493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99.8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494" t="s">
        <v>52</v>
      </c>
      <c r="D31" s="495"/>
      <c r="E31" s="495"/>
      <c r="F31" s="495"/>
      <c r="G31" s="495"/>
      <c r="H31" s="496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494" t="s">
        <v>54</v>
      </c>
      <c r="D32" s="495"/>
      <c r="E32" s="495"/>
      <c r="F32" s="495"/>
      <c r="G32" s="495"/>
      <c r="H32" s="496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20</v>
      </c>
      <c r="C36" s="99"/>
      <c r="D36" s="497" t="s">
        <v>58</v>
      </c>
      <c r="E36" s="498"/>
      <c r="F36" s="497" t="s">
        <v>59</v>
      </c>
      <c r="G36" s="499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1</v>
      </c>
      <c r="C38" s="131">
        <v>1</v>
      </c>
      <c r="D38" s="132">
        <v>53938581</v>
      </c>
      <c r="E38" s="133">
        <f>IF(ISBLANK(D38),"-",$D$48/$D$45*D38)</f>
        <v>59819230.04836458</v>
      </c>
      <c r="F38" s="132">
        <v>61213478</v>
      </c>
      <c r="G38" s="134">
        <f>IF(ISBLANK(F38),"-",$D$48/$F$45*F38)</f>
        <v>61428292.739710771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53798934</v>
      </c>
      <c r="E39" s="138">
        <f>IF(ISBLANK(D39),"-",$D$48/$D$45*D39)</f>
        <v>59664358.0464748</v>
      </c>
      <c r="F39" s="137">
        <v>61269212</v>
      </c>
      <c r="G39" s="139">
        <f>IF(ISBLANK(F39),"-",$D$48/$F$45*F39)</f>
        <v>61484222.325472184</v>
      </c>
      <c r="I39" s="501">
        <f>ABS((F43/D43*D42)-F42)/D42</f>
        <v>3.1725212054622864E-2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53826910</v>
      </c>
      <c r="E40" s="138">
        <f>IF(ISBLANK(D40),"-",$D$48/$D$45*D40)</f>
        <v>59695384.12741366</v>
      </c>
      <c r="F40" s="137">
        <v>61195359</v>
      </c>
      <c r="G40" s="139">
        <f>IF(ISBLANK(F40),"-",$D$48/$F$45*F40)</f>
        <v>61410110.155212782</v>
      </c>
      <c r="I40" s="501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53854808.333333336</v>
      </c>
      <c r="E42" s="148">
        <f>AVERAGE(E38:E41)</f>
        <v>59726324.074084342</v>
      </c>
      <c r="F42" s="147">
        <f>AVERAGE(F38:F41)</f>
        <v>61226016.333333336</v>
      </c>
      <c r="G42" s="149">
        <f>AVERAGE(G38:G41)</f>
        <v>61440875.07346525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18.07</v>
      </c>
      <c r="E43" s="140"/>
      <c r="F43" s="152">
        <v>19.97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18.07</v>
      </c>
      <c r="E44" s="155"/>
      <c r="F44" s="154">
        <f>F43*$B$34</f>
        <v>19.97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20</v>
      </c>
      <c r="C45" s="153" t="s">
        <v>76</v>
      </c>
      <c r="D45" s="157">
        <f>D44*$B$30/100</f>
        <v>18.033860000000001</v>
      </c>
      <c r="E45" s="158"/>
      <c r="F45" s="157">
        <f>F44*$B$30/100</f>
        <v>19.930059999999997</v>
      </c>
      <c r="H45" s="150"/>
    </row>
    <row r="46" spans="1:14" ht="19.5" customHeight="1" x14ac:dyDescent="0.3">
      <c r="A46" s="502" t="s">
        <v>77</v>
      </c>
      <c r="B46" s="503"/>
      <c r="C46" s="153" t="s">
        <v>78</v>
      </c>
      <c r="D46" s="159">
        <f>D45/$B$45</f>
        <v>0.90169300000000008</v>
      </c>
      <c r="E46" s="160"/>
      <c r="F46" s="161">
        <f>F45/$B$45</f>
        <v>0.99650299999999992</v>
      </c>
      <c r="H46" s="150"/>
    </row>
    <row r="47" spans="1:14" ht="27" customHeight="1" x14ac:dyDescent="0.4">
      <c r="A47" s="504"/>
      <c r="B47" s="505"/>
      <c r="C47" s="162" t="s">
        <v>79</v>
      </c>
      <c r="D47" s="163">
        <v>1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20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60583599.573774792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1.5529686498725057E-2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>Each film coated tablets contains lopinavir USP 200 mg ritonavir USP 50 mg</v>
      </c>
    </row>
    <row r="56" spans="1:12" ht="26.25" customHeight="1" x14ac:dyDescent="0.4">
      <c r="A56" s="177" t="s">
        <v>86</v>
      </c>
      <c r="B56" s="178">
        <v>200</v>
      </c>
      <c r="C56" s="99" t="str">
        <f>B20</f>
        <v>Lopinavir USP 200 mg Ritonavir USP 50 mg</v>
      </c>
      <c r="H56" s="179"/>
    </row>
    <row r="57" spans="1:12" ht="18.75" x14ac:dyDescent="0.3">
      <c r="A57" s="176" t="s">
        <v>87</v>
      </c>
      <c r="B57" s="247">
        <f>Uniformity!C46</f>
        <v>1253.5464999999999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88</v>
      </c>
      <c r="B59" s="123">
        <v>200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1</v>
      </c>
      <c r="C60" s="506" t="s">
        <v>93</v>
      </c>
      <c r="D60" s="509">
        <v>1263.2</v>
      </c>
      <c r="E60" s="182">
        <v>1</v>
      </c>
      <c r="F60" s="183">
        <v>62103834</v>
      </c>
      <c r="G60" s="248">
        <f>IF(ISBLANK(F60),"-",(F60/$D$50*$D$47*$B$68)*($B$57/$D$60))</f>
        <v>203.45186076485436</v>
      </c>
      <c r="H60" s="266">
        <f t="shared" ref="H60:H71" si="0">IF(ISBLANK(F60),"-",(G60/$B$56)*100)</f>
        <v>101.72593038242719</v>
      </c>
      <c r="L60" s="112"/>
    </row>
    <row r="61" spans="1:12" s="14" customFormat="1" ht="26.25" customHeight="1" x14ac:dyDescent="0.4">
      <c r="A61" s="124" t="s">
        <v>94</v>
      </c>
      <c r="B61" s="125">
        <v>1</v>
      </c>
      <c r="C61" s="507"/>
      <c r="D61" s="510"/>
      <c r="E61" s="184">
        <v>2</v>
      </c>
      <c r="F61" s="137">
        <v>62075156</v>
      </c>
      <c r="G61" s="249">
        <f>IF(ISBLANK(F61),"-",(F61/$D$50*$D$47*$B$68)*($B$57/$D$60))</f>
        <v>203.35791177511865</v>
      </c>
      <c r="H61" s="267">
        <f t="shared" si="0"/>
        <v>101.67895588755933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507"/>
      <c r="D62" s="510"/>
      <c r="E62" s="184">
        <v>3</v>
      </c>
      <c r="F62" s="185">
        <v>62216383</v>
      </c>
      <c r="G62" s="249">
        <f>IF(ISBLANK(F62),"-",(F62/$D$50*$D$47*$B$68)*($B$57/$D$60))</f>
        <v>203.82057074622563</v>
      </c>
      <c r="H62" s="267">
        <f t="shared" si="0"/>
        <v>101.91028537311281</v>
      </c>
      <c r="L62" s="112"/>
    </row>
    <row r="63" spans="1:12" ht="27" customHeight="1" x14ac:dyDescent="0.4">
      <c r="A63" s="124" t="s">
        <v>96</v>
      </c>
      <c r="B63" s="125">
        <v>1</v>
      </c>
      <c r="C63" s="508"/>
      <c r="D63" s="511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506" t="s">
        <v>98</v>
      </c>
      <c r="D64" s="509">
        <v>1247.5899999999999</v>
      </c>
      <c r="E64" s="182">
        <v>1</v>
      </c>
      <c r="F64" s="183">
        <v>61318185</v>
      </c>
      <c r="G64" s="248">
        <f>IF(ISBLANK(F64),"-",(F64/$D$50*$D$47*$B$68)*($B$57/$D$64))</f>
        <v>203.39148972908228</v>
      </c>
      <c r="H64" s="266">
        <f t="shared" si="0"/>
        <v>101.69574486454114</v>
      </c>
    </row>
    <row r="65" spans="1:8" ht="26.25" customHeight="1" x14ac:dyDescent="0.4">
      <c r="A65" s="124" t="s">
        <v>99</v>
      </c>
      <c r="B65" s="125">
        <v>1</v>
      </c>
      <c r="C65" s="507"/>
      <c r="D65" s="510"/>
      <c r="E65" s="184">
        <v>2</v>
      </c>
      <c r="F65" s="137">
        <v>61571084</v>
      </c>
      <c r="G65" s="249">
        <f>IF(ISBLANK(F65),"-",(F65/$D$50*$D$47*$B$68)*($B$57/$D$64))</f>
        <v>204.23035187676317</v>
      </c>
      <c r="H65" s="267">
        <f t="shared" si="0"/>
        <v>102.11517593838157</v>
      </c>
    </row>
    <row r="66" spans="1:8" ht="26.25" customHeight="1" x14ac:dyDescent="0.4">
      <c r="A66" s="124" t="s">
        <v>100</v>
      </c>
      <c r="B66" s="125">
        <v>1</v>
      </c>
      <c r="C66" s="507"/>
      <c r="D66" s="510"/>
      <c r="E66" s="184">
        <v>3</v>
      </c>
      <c r="F66" s="137">
        <v>61449926</v>
      </c>
      <c r="G66" s="249">
        <f>IF(ISBLANK(F66),"-",(F66/$D$50*$D$47*$B$68)*($B$57/$D$64))</f>
        <v>203.82847262817489</v>
      </c>
      <c r="H66" s="267">
        <f t="shared" si="0"/>
        <v>101.91423631408745</v>
      </c>
    </row>
    <row r="67" spans="1:8" ht="27" customHeight="1" x14ac:dyDescent="0.4">
      <c r="A67" s="124" t="s">
        <v>101</v>
      </c>
      <c r="B67" s="125">
        <v>1</v>
      </c>
      <c r="C67" s="508"/>
      <c r="D67" s="511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102</v>
      </c>
      <c r="B68" s="188">
        <f>(B67/B66)*(B65/B64)*(B63/B62)*(B61/B60)*B59</f>
        <v>200</v>
      </c>
      <c r="C68" s="506" t="s">
        <v>103</v>
      </c>
      <c r="D68" s="509">
        <v>1252.8</v>
      </c>
      <c r="E68" s="182">
        <v>1</v>
      </c>
      <c r="F68" s="183">
        <v>62667346</v>
      </c>
      <c r="G68" s="248">
        <f>IF(ISBLANK(F68),"-",(F68/$D$50*$D$47*$B$68)*($B$57/$D$68))</f>
        <v>207.00218453733083</v>
      </c>
      <c r="H68" s="267">
        <f t="shared" si="0"/>
        <v>103.50109226866542</v>
      </c>
    </row>
    <row r="69" spans="1:8" ht="27" customHeight="1" x14ac:dyDescent="0.4">
      <c r="A69" s="172" t="s">
        <v>104</v>
      </c>
      <c r="B69" s="189">
        <f>(D47*B68)/B56*B57</f>
        <v>1253.5464999999999</v>
      </c>
      <c r="C69" s="507"/>
      <c r="D69" s="510"/>
      <c r="E69" s="184">
        <v>2</v>
      </c>
      <c r="F69" s="137">
        <v>62901510</v>
      </c>
      <c r="G69" s="249">
        <f>IF(ISBLANK(F69),"-",(F69/$D$50*$D$47*$B$68)*($B$57/$D$68))</f>
        <v>207.77567284717568</v>
      </c>
      <c r="H69" s="267">
        <f t="shared" si="0"/>
        <v>103.88783642358783</v>
      </c>
    </row>
    <row r="70" spans="1:8" ht="26.25" customHeight="1" x14ac:dyDescent="0.4">
      <c r="A70" s="519" t="s">
        <v>77</v>
      </c>
      <c r="B70" s="520"/>
      <c r="C70" s="507"/>
      <c r="D70" s="510"/>
      <c r="E70" s="184">
        <v>3</v>
      </c>
      <c r="F70" s="137">
        <v>63261739</v>
      </c>
      <c r="G70" s="249">
        <f>IF(ISBLANK(F70),"-",(F70/$D$50*$D$47*$B$68)*($B$57/$D$68))</f>
        <v>208.96557787257274</v>
      </c>
      <c r="H70" s="267">
        <f t="shared" si="0"/>
        <v>104.48278893628637</v>
      </c>
    </row>
    <row r="71" spans="1:8" ht="27" customHeight="1" x14ac:dyDescent="0.4">
      <c r="A71" s="521"/>
      <c r="B71" s="522"/>
      <c r="C71" s="518"/>
      <c r="D71" s="511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70</v>
      </c>
      <c r="G72" s="254">
        <f>AVERAGE(G60:G71)</f>
        <v>205.09156586414423</v>
      </c>
      <c r="H72" s="269">
        <f>AVERAGE(H60:H71)</f>
        <v>102.54578293207213</v>
      </c>
    </row>
    <row r="73" spans="1:8" ht="26.25" customHeight="1" x14ac:dyDescent="0.4">
      <c r="C73" s="190"/>
      <c r="D73" s="190"/>
      <c r="E73" s="190"/>
      <c r="F73" s="193" t="s">
        <v>83</v>
      </c>
      <c r="G73" s="253">
        <f>STDEV(G60:G71)/G72</f>
        <v>1.0682474833587922E-2</v>
      </c>
      <c r="H73" s="253">
        <f>STDEV(H60:H71)/H72</f>
        <v>1.0682474833587892E-2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105</v>
      </c>
      <c r="B76" s="197" t="s">
        <v>106</v>
      </c>
      <c r="C76" s="514" t="str">
        <f>B26</f>
        <v>LOPINAVIR</v>
      </c>
      <c r="D76" s="514"/>
      <c r="E76" s="198" t="s">
        <v>107</v>
      </c>
      <c r="F76" s="198"/>
      <c r="G76" s="199">
        <f>H72</f>
        <v>102.54578293207213</v>
      </c>
      <c r="H76" s="200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0" t="str">
        <f>B26</f>
        <v>LOPINAVIR</v>
      </c>
      <c r="C79" s="500"/>
    </row>
    <row r="80" spans="1:8" ht="26.25" customHeight="1" x14ac:dyDescent="0.4">
      <c r="A80" s="109" t="s">
        <v>47</v>
      </c>
      <c r="B80" s="500" t="str">
        <f>B27</f>
        <v>L20 2</v>
      </c>
      <c r="C80" s="500"/>
    </row>
    <row r="81" spans="1:12" ht="27" customHeight="1" x14ac:dyDescent="0.4">
      <c r="A81" s="109" t="s">
        <v>6</v>
      </c>
      <c r="B81" s="201">
        <f>B28</f>
        <v>99.8</v>
      </c>
    </row>
    <row r="82" spans="1:12" s="14" customFormat="1" ht="27" customHeight="1" x14ac:dyDescent="0.4">
      <c r="A82" s="109" t="s">
        <v>48</v>
      </c>
      <c r="B82" s="111">
        <v>0</v>
      </c>
      <c r="C82" s="491" t="s">
        <v>49</v>
      </c>
      <c r="D82" s="492"/>
      <c r="E82" s="492"/>
      <c r="F82" s="492"/>
      <c r="G82" s="493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99.8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494" t="s">
        <v>110</v>
      </c>
      <c r="D84" s="495"/>
      <c r="E84" s="495"/>
      <c r="F84" s="495"/>
      <c r="G84" s="495"/>
      <c r="H84" s="496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494" t="s">
        <v>111</v>
      </c>
      <c r="D85" s="495"/>
      <c r="E85" s="495"/>
      <c r="F85" s="495"/>
      <c r="G85" s="495"/>
      <c r="H85" s="496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20</v>
      </c>
      <c r="D89" s="202" t="s">
        <v>58</v>
      </c>
      <c r="E89" s="203"/>
      <c r="F89" s="497" t="s">
        <v>59</v>
      </c>
      <c r="G89" s="499"/>
    </row>
    <row r="90" spans="1:12" ht="27" customHeight="1" x14ac:dyDescent="0.4">
      <c r="A90" s="124" t="s">
        <v>60</v>
      </c>
      <c r="B90" s="125">
        <v>2</v>
      </c>
      <c r="C90" s="204" t="s">
        <v>61</v>
      </c>
      <c r="D90" s="127" t="s">
        <v>62</v>
      </c>
      <c r="E90" s="128" t="s">
        <v>63</v>
      </c>
      <c r="F90" s="127" t="s">
        <v>62</v>
      </c>
      <c r="G90" s="205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10</v>
      </c>
      <c r="C91" s="206">
        <v>1</v>
      </c>
      <c r="D91" s="132">
        <v>11120674</v>
      </c>
      <c r="E91" s="133">
        <f>IF(ISBLANK(D91),"-",$D$101/$D$98*D91)</f>
        <v>13703449.449473871</v>
      </c>
      <c r="F91" s="132">
        <v>12530862</v>
      </c>
      <c r="G91" s="134">
        <f>IF(ISBLANK(F91),"-",$D$101/$F$98*F91)</f>
        <v>13972040.224665657</v>
      </c>
      <c r="I91" s="135"/>
    </row>
    <row r="92" spans="1:12" ht="26.25" customHeight="1" x14ac:dyDescent="0.4">
      <c r="A92" s="124" t="s">
        <v>66</v>
      </c>
      <c r="B92" s="125">
        <v>1</v>
      </c>
      <c r="C92" s="191">
        <v>2</v>
      </c>
      <c r="D92" s="137">
        <v>11119964</v>
      </c>
      <c r="E92" s="138">
        <f>IF(ISBLANK(D92),"-",$D$101/$D$98*D92)</f>
        <v>13702574.552043272</v>
      </c>
      <c r="F92" s="137">
        <v>12551316</v>
      </c>
      <c r="G92" s="139">
        <f>IF(ISBLANK(F92),"-",$D$101/$F$98*F92)</f>
        <v>13994846.645385582</v>
      </c>
      <c r="I92" s="501">
        <f>ABS((F96/D96*D95)-F95)/D95</f>
        <v>2.1680143485777535E-2</v>
      </c>
    </row>
    <row r="93" spans="1:12" ht="26.25" customHeight="1" x14ac:dyDescent="0.4">
      <c r="A93" s="124" t="s">
        <v>67</v>
      </c>
      <c r="B93" s="125">
        <v>1</v>
      </c>
      <c r="C93" s="191">
        <v>3</v>
      </c>
      <c r="D93" s="137">
        <v>11122020</v>
      </c>
      <c r="E93" s="138">
        <f>IF(ISBLANK(D93),"-",$D$101/$D$98*D93)</f>
        <v>13705108.057842301</v>
      </c>
      <c r="F93" s="137">
        <v>12511759</v>
      </c>
      <c r="G93" s="139">
        <f>IF(ISBLANK(F93),"-",$D$101/$F$98*F93)</f>
        <v>13950740.182863921</v>
      </c>
      <c r="I93" s="501"/>
    </row>
    <row r="94" spans="1:12" ht="27" customHeight="1" x14ac:dyDescent="0.4">
      <c r="A94" s="124" t="s">
        <v>68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09" t="s">
        <v>70</v>
      </c>
      <c r="D95" s="210">
        <f>AVERAGE(D91:D94)</f>
        <v>11120886</v>
      </c>
      <c r="E95" s="148">
        <f>AVERAGE(E91:E94)</f>
        <v>13703710.686453149</v>
      </c>
      <c r="F95" s="211">
        <f>AVERAGE(F91:F94)</f>
        <v>12531312.333333334</v>
      </c>
      <c r="G95" s="212">
        <f>AVERAGE(G91:G94)</f>
        <v>13972542.350971719</v>
      </c>
    </row>
    <row r="96" spans="1:12" ht="26.25" customHeight="1" x14ac:dyDescent="0.4">
      <c r="A96" s="124" t="s">
        <v>71</v>
      </c>
      <c r="B96" s="110">
        <v>1</v>
      </c>
      <c r="C96" s="213" t="s">
        <v>112</v>
      </c>
      <c r="D96" s="214">
        <v>18.07</v>
      </c>
      <c r="E96" s="140"/>
      <c r="F96" s="152">
        <v>19.97</v>
      </c>
    </row>
    <row r="97" spans="1:10" ht="26.25" customHeight="1" x14ac:dyDescent="0.4">
      <c r="A97" s="124" t="s">
        <v>73</v>
      </c>
      <c r="B97" s="110">
        <v>1</v>
      </c>
      <c r="C97" s="215" t="s">
        <v>113</v>
      </c>
      <c r="D97" s="216">
        <f>D96*$B$87</f>
        <v>18.07</v>
      </c>
      <c r="E97" s="155"/>
      <c r="F97" s="154">
        <f>F96*$B$87</f>
        <v>19.97</v>
      </c>
    </row>
    <row r="98" spans="1:10" ht="19.5" customHeight="1" x14ac:dyDescent="0.3">
      <c r="A98" s="124" t="s">
        <v>75</v>
      </c>
      <c r="B98" s="217">
        <f>(B97/B96)*(B95/B94)*(B93/B92)*(B91/B90)*B89</f>
        <v>100</v>
      </c>
      <c r="C98" s="215" t="s">
        <v>114</v>
      </c>
      <c r="D98" s="218">
        <f>D97*$B$83/100</f>
        <v>18.033860000000001</v>
      </c>
      <c r="E98" s="158"/>
      <c r="F98" s="157">
        <f>F97*$B$83/100</f>
        <v>19.930059999999997</v>
      </c>
    </row>
    <row r="99" spans="1:10" ht="19.5" customHeight="1" x14ac:dyDescent="0.3">
      <c r="A99" s="502" t="s">
        <v>77</v>
      </c>
      <c r="B99" s="516"/>
      <c r="C99" s="215" t="s">
        <v>115</v>
      </c>
      <c r="D99" s="219">
        <f>D98/$B$98</f>
        <v>0.18033860000000002</v>
      </c>
      <c r="E99" s="158"/>
      <c r="F99" s="161">
        <f>F98/$B$98</f>
        <v>0.19930059999999997</v>
      </c>
      <c r="G99" s="220"/>
      <c r="H99" s="150"/>
    </row>
    <row r="100" spans="1:10" ht="19.5" customHeight="1" x14ac:dyDescent="0.3">
      <c r="A100" s="504"/>
      <c r="B100" s="517"/>
      <c r="C100" s="215" t="s">
        <v>79</v>
      </c>
      <c r="D100" s="221">
        <f>$B$56/$B$116</f>
        <v>0.22222222222222221</v>
      </c>
      <c r="F100" s="166"/>
      <c r="G100" s="222"/>
      <c r="H100" s="150"/>
    </row>
    <row r="101" spans="1:10" ht="18.75" x14ac:dyDescent="0.3">
      <c r="C101" s="215" t="s">
        <v>80</v>
      </c>
      <c r="D101" s="216">
        <f>D100*$B$98</f>
        <v>22.222222222222221</v>
      </c>
      <c r="F101" s="166"/>
      <c r="G101" s="220"/>
      <c r="H101" s="150"/>
    </row>
    <row r="102" spans="1:10" ht="19.5" customHeight="1" x14ac:dyDescent="0.3">
      <c r="C102" s="223" t="s">
        <v>81</v>
      </c>
      <c r="D102" s="224">
        <f>D101/B34</f>
        <v>22.222222222222221</v>
      </c>
      <c r="F102" s="170"/>
      <c r="G102" s="220"/>
      <c r="H102" s="150"/>
      <c r="J102" s="225"/>
    </row>
    <row r="103" spans="1:10" ht="18.75" x14ac:dyDescent="0.3">
      <c r="C103" s="226" t="s">
        <v>116</v>
      </c>
      <c r="D103" s="227">
        <f>AVERAGE(E91:E94,G91:G94)</f>
        <v>13838126.518712433</v>
      </c>
      <c r="F103" s="170"/>
      <c r="G103" s="228"/>
      <c r="H103" s="150"/>
      <c r="J103" s="229"/>
    </row>
    <row r="104" spans="1:10" ht="18.75" x14ac:dyDescent="0.3">
      <c r="C104" s="193" t="s">
        <v>83</v>
      </c>
      <c r="D104" s="230">
        <f>STDEV(E91:E94,G91:G94)/D103</f>
        <v>1.068835281512283E-2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117</v>
      </c>
      <c r="B107" s="123">
        <v>900</v>
      </c>
      <c r="C107" s="270" t="s">
        <v>118</v>
      </c>
      <c r="D107" s="270" t="s">
        <v>62</v>
      </c>
      <c r="E107" s="270" t="s">
        <v>119</v>
      </c>
      <c r="F107" s="232" t="s">
        <v>120</v>
      </c>
    </row>
    <row r="108" spans="1:10" ht="26.25" customHeight="1" x14ac:dyDescent="0.4">
      <c r="A108" s="124" t="s">
        <v>121</v>
      </c>
      <c r="B108" s="125">
        <v>1</v>
      </c>
      <c r="C108" s="275">
        <v>1</v>
      </c>
      <c r="D108" s="276">
        <v>13172171</v>
      </c>
      <c r="E108" s="250">
        <f t="shared" ref="E108:E113" si="1">IF(ISBLANK(D108),"-",D108/$D$103*$D$100*$B$116)</f>
        <v>190.37506243620618</v>
      </c>
      <c r="F108" s="277">
        <f t="shared" ref="F108:F113" si="2">IF(ISBLANK(D108), "-", (E108/$B$56)*100)</f>
        <v>95.187531218103089</v>
      </c>
    </row>
    <row r="109" spans="1:10" ht="26.25" customHeight="1" x14ac:dyDescent="0.4">
      <c r="A109" s="124" t="s">
        <v>94</v>
      </c>
      <c r="B109" s="125">
        <v>1</v>
      </c>
      <c r="C109" s="271">
        <v>2</v>
      </c>
      <c r="D109" s="273">
        <v>13428806</v>
      </c>
      <c r="E109" s="251">
        <f t="shared" si="1"/>
        <v>194.08416279242806</v>
      </c>
      <c r="F109" s="278">
        <f t="shared" si="2"/>
        <v>97.04208139621403</v>
      </c>
    </row>
    <row r="110" spans="1:10" ht="26.25" customHeight="1" x14ac:dyDescent="0.4">
      <c r="A110" s="124" t="s">
        <v>95</v>
      </c>
      <c r="B110" s="125">
        <v>1</v>
      </c>
      <c r="C110" s="271">
        <v>3</v>
      </c>
      <c r="D110" s="273">
        <v>13414892</v>
      </c>
      <c r="E110" s="251">
        <f t="shared" si="1"/>
        <v>193.88306620639551</v>
      </c>
      <c r="F110" s="278">
        <f t="shared" si="2"/>
        <v>96.941533103197756</v>
      </c>
    </row>
    <row r="111" spans="1:10" ht="26.25" customHeight="1" x14ac:dyDescent="0.4">
      <c r="A111" s="124" t="s">
        <v>96</v>
      </c>
      <c r="B111" s="125">
        <v>1</v>
      </c>
      <c r="C111" s="271">
        <v>4</v>
      </c>
      <c r="D111" s="273">
        <v>13416172</v>
      </c>
      <c r="E111" s="251">
        <f t="shared" si="1"/>
        <v>193.901565820462</v>
      </c>
      <c r="F111" s="278">
        <f t="shared" si="2"/>
        <v>96.950782910230998</v>
      </c>
    </row>
    <row r="112" spans="1:10" ht="26.25" customHeight="1" x14ac:dyDescent="0.4">
      <c r="A112" s="124" t="s">
        <v>97</v>
      </c>
      <c r="B112" s="125">
        <v>1</v>
      </c>
      <c r="C112" s="271">
        <v>5</v>
      </c>
      <c r="D112" s="273">
        <v>13188610</v>
      </c>
      <c r="E112" s="251">
        <f t="shared" si="1"/>
        <v>190.6126524015497</v>
      </c>
      <c r="F112" s="278">
        <f t="shared" si="2"/>
        <v>95.306326200774848</v>
      </c>
    </row>
    <row r="113" spans="1:10" ht="27" customHeight="1" x14ac:dyDescent="0.4">
      <c r="A113" s="124" t="s">
        <v>99</v>
      </c>
      <c r="B113" s="125">
        <v>1</v>
      </c>
      <c r="C113" s="272">
        <v>6</v>
      </c>
      <c r="D113" s="274">
        <v>13174084</v>
      </c>
      <c r="E113" s="252">
        <f t="shared" si="1"/>
        <v>190.40271068754154</v>
      </c>
      <c r="F113" s="279">
        <f t="shared" si="2"/>
        <v>95.201355343770771</v>
      </c>
    </row>
    <row r="114" spans="1:10" ht="27" customHeight="1" x14ac:dyDescent="0.4">
      <c r="A114" s="124" t="s">
        <v>100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101</v>
      </c>
      <c r="B115" s="125">
        <v>1</v>
      </c>
      <c r="C115" s="233"/>
      <c r="D115" s="257" t="s">
        <v>70</v>
      </c>
      <c r="E115" s="259">
        <f>AVERAGE(E108:E113)</f>
        <v>192.20987005743049</v>
      </c>
      <c r="F115" s="281">
        <f>AVERAGE(F108:F113)</f>
        <v>96.104935028715246</v>
      </c>
    </row>
    <row r="116" spans="1:10" ht="27" customHeight="1" x14ac:dyDescent="0.4">
      <c r="A116" s="124" t="s">
        <v>102</v>
      </c>
      <c r="B116" s="156">
        <f>(B115/B114)*(B113/B112)*(B111/B110)*(B109/B108)*B107</f>
        <v>900</v>
      </c>
      <c r="C116" s="234"/>
      <c r="D116" s="258" t="s">
        <v>83</v>
      </c>
      <c r="E116" s="256">
        <f>STDEV(E108:E113)/E115</f>
        <v>9.9689661071576709E-3</v>
      </c>
      <c r="F116" s="235">
        <f>STDEV(F108:F113)/F115</f>
        <v>9.9689661071576709E-3</v>
      </c>
      <c r="I116" s="98"/>
    </row>
    <row r="117" spans="1:10" ht="27" customHeight="1" x14ac:dyDescent="0.4">
      <c r="A117" s="502" t="s">
        <v>77</v>
      </c>
      <c r="B117" s="503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504"/>
      <c r="B118" s="505"/>
      <c r="C118" s="98"/>
      <c r="D118" s="260"/>
      <c r="E118" s="482" t="s">
        <v>122</v>
      </c>
      <c r="F118" s="483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123</v>
      </c>
      <c r="E119" s="263">
        <f>MIN(E108:E113)</f>
        <v>190.37506243620618</v>
      </c>
      <c r="F119" s="282">
        <f>MIN(F108:F113)</f>
        <v>95.187531218103089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124</v>
      </c>
      <c r="E120" s="264">
        <f>MAX(E108:E113)</f>
        <v>194.08416279242806</v>
      </c>
      <c r="F120" s="283">
        <f>MAX(F108:F113)</f>
        <v>97.04208139621403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105</v>
      </c>
      <c r="B124" s="197" t="s">
        <v>125</v>
      </c>
      <c r="C124" s="514" t="str">
        <f>B26</f>
        <v>LOPINAVIR</v>
      </c>
      <c r="D124" s="514"/>
      <c r="E124" s="198" t="s">
        <v>126</v>
      </c>
      <c r="F124" s="198"/>
      <c r="G124" s="284">
        <f>F115</f>
        <v>96.104935028715246</v>
      </c>
      <c r="H124" s="98"/>
      <c r="I124" s="98"/>
    </row>
    <row r="125" spans="1:10" ht="45.75" customHeight="1" x14ac:dyDescent="0.65">
      <c r="A125" s="108"/>
      <c r="B125" s="197" t="s">
        <v>127</v>
      </c>
      <c r="C125" s="109" t="s">
        <v>128</v>
      </c>
      <c r="D125" s="284">
        <f>MIN(F108:F113)</f>
        <v>95.187531218103089</v>
      </c>
      <c r="E125" s="209" t="s">
        <v>129</v>
      </c>
      <c r="F125" s="284">
        <f>MAX(F108:F113)</f>
        <v>97.04208139621403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515" t="s">
        <v>25</v>
      </c>
      <c r="C127" s="515"/>
      <c r="E127" s="204" t="s">
        <v>26</v>
      </c>
      <c r="F127" s="239"/>
      <c r="G127" s="515" t="s">
        <v>27</v>
      </c>
      <c r="H127" s="515"/>
    </row>
    <row r="128" spans="1:10" ht="69.95" customHeight="1" x14ac:dyDescent="0.3">
      <c r="A128" s="240" t="s">
        <v>28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29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1" zoomScale="50" zoomScaleNormal="40" zoomScaleSheetLayoutView="50" zoomScalePageLayoutView="55" workbookViewId="0">
      <selection activeCell="E39" sqref="E3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2" t="s">
        <v>44</v>
      </c>
      <c r="B1" s="512"/>
      <c r="C1" s="512"/>
      <c r="D1" s="512"/>
      <c r="E1" s="512"/>
      <c r="F1" s="512"/>
      <c r="G1" s="512"/>
      <c r="H1" s="512"/>
      <c r="I1" s="512"/>
    </row>
    <row r="2" spans="1:9" ht="18.75" customHeight="1" x14ac:dyDescent="0.25">
      <c r="A2" s="512"/>
      <c r="B2" s="512"/>
      <c r="C2" s="512"/>
      <c r="D2" s="512"/>
      <c r="E2" s="512"/>
      <c r="F2" s="512"/>
      <c r="G2" s="512"/>
      <c r="H2" s="512"/>
      <c r="I2" s="512"/>
    </row>
    <row r="3" spans="1:9" ht="18.75" customHeight="1" x14ac:dyDescent="0.25">
      <c r="A3" s="512"/>
      <c r="B3" s="512"/>
      <c r="C3" s="512"/>
      <c r="D3" s="512"/>
      <c r="E3" s="512"/>
      <c r="F3" s="512"/>
      <c r="G3" s="512"/>
      <c r="H3" s="512"/>
      <c r="I3" s="512"/>
    </row>
    <row r="4" spans="1:9" ht="18.75" customHeight="1" x14ac:dyDescent="0.25">
      <c r="A4" s="512"/>
      <c r="B4" s="512"/>
      <c r="C4" s="512"/>
      <c r="D4" s="512"/>
      <c r="E4" s="512"/>
      <c r="F4" s="512"/>
      <c r="G4" s="512"/>
      <c r="H4" s="512"/>
      <c r="I4" s="512"/>
    </row>
    <row r="5" spans="1:9" ht="18.75" customHeight="1" x14ac:dyDescent="0.25">
      <c r="A5" s="512"/>
      <c r="B5" s="512"/>
      <c r="C5" s="512"/>
      <c r="D5" s="512"/>
      <c r="E5" s="512"/>
      <c r="F5" s="512"/>
      <c r="G5" s="512"/>
      <c r="H5" s="512"/>
      <c r="I5" s="512"/>
    </row>
    <row r="6" spans="1:9" ht="18.75" customHeight="1" x14ac:dyDescent="0.25">
      <c r="A6" s="512"/>
      <c r="B6" s="512"/>
      <c r="C6" s="512"/>
      <c r="D6" s="512"/>
      <c r="E6" s="512"/>
      <c r="F6" s="512"/>
      <c r="G6" s="512"/>
      <c r="H6" s="512"/>
      <c r="I6" s="512"/>
    </row>
    <row r="7" spans="1:9" ht="18.75" customHeight="1" x14ac:dyDescent="0.25">
      <c r="A7" s="512"/>
      <c r="B7" s="512"/>
      <c r="C7" s="512"/>
      <c r="D7" s="512"/>
      <c r="E7" s="512"/>
      <c r="F7" s="512"/>
      <c r="G7" s="512"/>
      <c r="H7" s="512"/>
      <c r="I7" s="512"/>
    </row>
    <row r="8" spans="1:9" x14ac:dyDescent="0.25">
      <c r="A8" s="513" t="s">
        <v>45</v>
      </c>
      <c r="B8" s="513"/>
      <c r="C8" s="513"/>
      <c r="D8" s="513"/>
      <c r="E8" s="513"/>
      <c r="F8" s="513"/>
      <c r="G8" s="513"/>
      <c r="H8" s="513"/>
      <c r="I8" s="513"/>
    </row>
    <row r="9" spans="1:9" x14ac:dyDescent="0.25">
      <c r="A9" s="513"/>
      <c r="B9" s="513"/>
      <c r="C9" s="513"/>
      <c r="D9" s="513"/>
      <c r="E9" s="513"/>
      <c r="F9" s="513"/>
      <c r="G9" s="513"/>
      <c r="H9" s="513"/>
      <c r="I9" s="513"/>
    </row>
    <row r="10" spans="1:9" x14ac:dyDescent="0.25">
      <c r="A10" s="513"/>
      <c r="B10" s="513"/>
      <c r="C10" s="513"/>
      <c r="D10" s="513"/>
      <c r="E10" s="513"/>
      <c r="F10" s="513"/>
      <c r="G10" s="513"/>
      <c r="H10" s="513"/>
      <c r="I10" s="513"/>
    </row>
    <row r="11" spans="1:9" x14ac:dyDescent="0.25">
      <c r="A11" s="513"/>
      <c r="B11" s="513"/>
      <c r="C11" s="513"/>
      <c r="D11" s="513"/>
      <c r="E11" s="513"/>
      <c r="F11" s="513"/>
      <c r="G11" s="513"/>
      <c r="H11" s="513"/>
      <c r="I11" s="513"/>
    </row>
    <row r="12" spans="1:9" x14ac:dyDescent="0.25">
      <c r="A12" s="513"/>
      <c r="B12" s="513"/>
      <c r="C12" s="513"/>
      <c r="D12" s="513"/>
      <c r="E12" s="513"/>
      <c r="F12" s="513"/>
      <c r="G12" s="513"/>
      <c r="H12" s="513"/>
      <c r="I12" s="513"/>
    </row>
    <row r="13" spans="1:9" x14ac:dyDescent="0.25">
      <c r="A13" s="513"/>
      <c r="B13" s="513"/>
      <c r="C13" s="513"/>
      <c r="D13" s="513"/>
      <c r="E13" s="513"/>
      <c r="F13" s="513"/>
      <c r="G13" s="513"/>
      <c r="H13" s="513"/>
      <c r="I13" s="513"/>
    </row>
    <row r="14" spans="1:9" x14ac:dyDescent="0.25">
      <c r="A14" s="513"/>
      <c r="B14" s="513"/>
      <c r="C14" s="513"/>
      <c r="D14" s="513"/>
      <c r="E14" s="513"/>
      <c r="F14" s="513"/>
      <c r="G14" s="513"/>
      <c r="H14" s="513"/>
      <c r="I14" s="513"/>
    </row>
    <row r="15" spans="1:9" ht="19.5" customHeight="1" x14ac:dyDescent="0.3">
      <c r="A15" s="285"/>
    </row>
    <row r="16" spans="1:9" ht="19.5" customHeight="1" x14ac:dyDescent="0.3">
      <c r="A16" s="485" t="s">
        <v>30</v>
      </c>
      <c r="B16" s="486"/>
      <c r="C16" s="486"/>
      <c r="D16" s="486"/>
      <c r="E16" s="486"/>
      <c r="F16" s="486"/>
      <c r="G16" s="486"/>
      <c r="H16" s="487"/>
    </row>
    <row r="17" spans="1:14" ht="20.25" customHeight="1" x14ac:dyDescent="0.25">
      <c r="A17" s="488" t="s">
        <v>46</v>
      </c>
      <c r="B17" s="488"/>
      <c r="C17" s="488"/>
      <c r="D17" s="488"/>
      <c r="E17" s="488"/>
      <c r="F17" s="488"/>
      <c r="G17" s="488"/>
      <c r="H17" s="488"/>
    </row>
    <row r="18" spans="1:14" ht="26.25" customHeight="1" x14ac:dyDescent="0.4">
      <c r="A18" s="287" t="s">
        <v>32</v>
      </c>
      <c r="B18" s="484" t="s">
        <v>5</v>
      </c>
      <c r="C18" s="484"/>
      <c r="D18" s="433"/>
      <c r="E18" s="288"/>
      <c r="F18" s="289"/>
      <c r="G18" s="289"/>
      <c r="H18" s="289"/>
    </row>
    <row r="19" spans="1:14" ht="26.25" customHeight="1" x14ac:dyDescent="0.4">
      <c r="A19" s="287" t="s">
        <v>33</v>
      </c>
      <c r="B19" s="290" t="s">
        <v>7</v>
      </c>
      <c r="C19" s="442">
        <v>1</v>
      </c>
      <c r="D19" s="289"/>
      <c r="E19" s="289"/>
      <c r="F19" s="289"/>
      <c r="G19" s="289"/>
      <c r="H19" s="289"/>
    </row>
    <row r="20" spans="1:14" ht="26.25" customHeight="1" x14ac:dyDescent="0.4">
      <c r="A20" s="287" t="s">
        <v>34</v>
      </c>
      <c r="B20" s="489" t="s">
        <v>134</v>
      </c>
      <c r="C20" s="489"/>
      <c r="D20" s="289"/>
      <c r="E20" s="289"/>
      <c r="F20" s="289"/>
      <c r="G20" s="289"/>
      <c r="H20" s="289"/>
    </row>
    <row r="21" spans="1:14" ht="26.25" customHeight="1" x14ac:dyDescent="0.4">
      <c r="A21" s="287" t="s">
        <v>35</v>
      </c>
      <c r="B21" s="489" t="s">
        <v>11</v>
      </c>
      <c r="C21" s="489"/>
      <c r="D21" s="489"/>
      <c r="E21" s="489"/>
      <c r="F21" s="489"/>
      <c r="G21" s="489"/>
      <c r="H21" s="489"/>
      <c r="I21" s="291"/>
    </row>
    <row r="22" spans="1:14" ht="26.25" customHeight="1" x14ac:dyDescent="0.4">
      <c r="A22" s="287" t="s">
        <v>36</v>
      </c>
      <c r="B22" s="292" t="s">
        <v>12</v>
      </c>
      <c r="C22" s="289"/>
      <c r="D22" s="289"/>
      <c r="E22" s="289"/>
      <c r="F22" s="289"/>
      <c r="G22" s="289"/>
      <c r="H22" s="289"/>
    </row>
    <row r="23" spans="1:14" ht="26.25" customHeight="1" x14ac:dyDescent="0.4">
      <c r="A23" s="287" t="s">
        <v>37</v>
      </c>
      <c r="B23" s="292"/>
      <c r="C23" s="289"/>
      <c r="D23" s="289"/>
      <c r="E23" s="289"/>
      <c r="F23" s="289"/>
      <c r="G23" s="289"/>
      <c r="H23" s="289"/>
    </row>
    <row r="24" spans="1:14" ht="18.75" x14ac:dyDescent="0.3">
      <c r="A24" s="287"/>
      <c r="B24" s="293"/>
    </row>
    <row r="25" spans="1:14" ht="18.75" x14ac:dyDescent="0.3">
      <c r="A25" s="294" t="s">
        <v>1</v>
      </c>
      <c r="B25" s="293"/>
    </row>
    <row r="26" spans="1:14" ht="26.25" customHeight="1" x14ac:dyDescent="0.4">
      <c r="A26" s="295" t="s">
        <v>4</v>
      </c>
      <c r="B26" s="484" t="s">
        <v>131</v>
      </c>
      <c r="C26" s="484"/>
    </row>
    <row r="27" spans="1:14" ht="26.25" customHeight="1" x14ac:dyDescent="0.4">
      <c r="A27" s="296" t="s">
        <v>47</v>
      </c>
      <c r="B27" s="490" t="s">
        <v>133</v>
      </c>
      <c r="C27" s="490"/>
    </row>
    <row r="28" spans="1:14" ht="27" customHeight="1" x14ac:dyDescent="0.4">
      <c r="A28" s="296" t="s">
        <v>6</v>
      </c>
      <c r="B28" s="297">
        <v>99.4</v>
      </c>
    </row>
    <row r="29" spans="1:14" s="14" customFormat="1" ht="27" customHeight="1" x14ac:dyDescent="0.4">
      <c r="A29" s="296" t="s">
        <v>48</v>
      </c>
      <c r="B29" s="298">
        <v>0</v>
      </c>
      <c r="C29" s="491" t="s">
        <v>49</v>
      </c>
      <c r="D29" s="492"/>
      <c r="E29" s="492"/>
      <c r="F29" s="492"/>
      <c r="G29" s="493"/>
      <c r="I29" s="299"/>
      <c r="J29" s="299"/>
      <c r="K29" s="299"/>
      <c r="L29" s="299"/>
    </row>
    <row r="30" spans="1:14" s="14" customFormat="1" ht="19.5" customHeight="1" x14ac:dyDescent="0.3">
      <c r="A30" s="296" t="s">
        <v>50</v>
      </c>
      <c r="B30" s="300">
        <f>B28-B29</f>
        <v>99.4</v>
      </c>
      <c r="C30" s="301"/>
      <c r="D30" s="301"/>
      <c r="E30" s="301"/>
      <c r="F30" s="301"/>
      <c r="G30" s="302"/>
      <c r="I30" s="299"/>
      <c r="J30" s="299"/>
      <c r="K30" s="299"/>
      <c r="L30" s="299"/>
    </row>
    <row r="31" spans="1:14" s="14" customFormat="1" ht="27" customHeight="1" x14ac:dyDescent="0.4">
      <c r="A31" s="296" t="s">
        <v>51</v>
      </c>
      <c r="B31" s="303">
        <v>1</v>
      </c>
      <c r="C31" s="494" t="s">
        <v>52</v>
      </c>
      <c r="D31" s="495"/>
      <c r="E31" s="495"/>
      <c r="F31" s="495"/>
      <c r="G31" s="495"/>
      <c r="H31" s="496"/>
      <c r="I31" s="299"/>
      <c r="J31" s="299"/>
      <c r="K31" s="299"/>
      <c r="L31" s="299"/>
    </row>
    <row r="32" spans="1:14" s="14" customFormat="1" ht="27" customHeight="1" x14ac:dyDescent="0.4">
      <c r="A32" s="296" t="s">
        <v>53</v>
      </c>
      <c r="B32" s="303">
        <v>1</v>
      </c>
      <c r="C32" s="494" t="s">
        <v>54</v>
      </c>
      <c r="D32" s="495"/>
      <c r="E32" s="495"/>
      <c r="F32" s="495"/>
      <c r="G32" s="495"/>
      <c r="H32" s="496"/>
      <c r="I32" s="299"/>
      <c r="J32" s="299"/>
      <c r="K32" s="299"/>
      <c r="L32" s="304"/>
      <c r="M32" s="304"/>
      <c r="N32" s="305"/>
    </row>
    <row r="33" spans="1:14" s="14" customFormat="1" ht="17.25" customHeight="1" x14ac:dyDescent="0.3">
      <c r="A33" s="296"/>
      <c r="B33" s="306"/>
      <c r="C33" s="307"/>
      <c r="D33" s="307"/>
      <c r="E33" s="307"/>
      <c r="F33" s="307"/>
      <c r="G33" s="307"/>
      <c r="H33" s="307"/>
      <c r="I33" s="299"/>
      <c r="J33" s="299"/>
      <c r="K33" s="299"/>
      <c r="L33" s="304"/>
      <c r="M33" s="304"/>
      <c r="N33" s="305"/>
    </row>
    <row r="34" spans="1:14" s="14" customFormat="1" ht="18.75" x14ac:dyDescent="0.3">
      <c r="A34" s="296" t="s">
        <v>55</v>
      </c>
      <c r="B34" s="308">
        <f>B31/B32</f>
        <v>1</v>
      </c>
      <c r="C34" s="286" t="s">
        <v>56</v>
      </c>
      <c r="D34" s="286"/>
      <c r="E34" s="286"/>
      <c r="F34" s="286"/>
      <c r="G34" s="286"/>
      <c r="I34" s="299"/>
      <c r="J34" s="299"/>
      <c r="K34" s="299"/>
      <c r="L34" s="304"/>
      <c r="M34" s="304"/>
      <c r="N34" s="305"/>
    </row>
    <row r="35" spans="1:14" s="14" customFormat="1" ht="19.5" customHeight="1" x14ac:dyDescent="0.3">
      <c r="A35" s="296"/>
      <c r="B35" s="300"/>
      <c r="G35" s="286"/>
      <c r="I35" s="299"/>
      <c r="J35" s="299"/>
      <c r="K35" s="299"/>
      <c r="L35" s="304"/>
      <c r="M35" s="304"/>
      <c r="N35" s="305"/>
    </row>
    <row r="36" spans="1:14" s="14" customFormat="1" ht="27" customHeight="1" x14ac:dyDescent="0.4">
      <c r="A36" s="309" t="s">
        <v>57</v>
      </c>
      <c r="B36" s="310">
        <v>25</v>
      </c>
      <c r="C36" s="286"/>
      <c r="D36" s="497" t="s">
        <v>58</v>
      </c>
      <c r="E36" s="498"/>
      <c r="F36" s="497" t="s">
        <v>59</v>
      </c>
      <c r="G36" s="499"/>
      <c r="J36" s="299"/>
      <c r="K36" s="299"/>
      <c r="L36" s="304"/>
      <c r="M36" s="304"/>
      <c r="N36" s="305"/>
    </row>
    <row r="37" spans="1:14" s="14" customFormat="1" ht="27" customHeight="1" x14ac:dyDescent="0.4">
      <c r="A37" s="311" t="s">
        <v>60</v>
      </c>
      <c r="B37" s="312">
        <v>10</v>
      </c>
      <c r="C37" s="313" t="s">
        <v>61</v>
      </c>
      <c r="D37" s="314" t="s">
        <v>62</v>
      </c>
      <c r="E37" s="315" t="s">
        <v>63</v>
      </c>
      <c r="F37" s="314" t="s">
        <v>62</v>
      </c>
      <c r="G37" s="316" t="s">
        <v>63</v>
      </c>
      <c r="I37" s="317" t="s">
        <v>64</v>
      </c>
      <c r="J37" s="299"/>
      <c r="K37" s="299"/>
      <c r="L37" s="304"/>
      <c r="M37" s="304"/>
      <c r="N37" s="305"/>
    </row>
    <row r="38" spans="1:14" s="14" customFormat="1" ht="26.25" customHeight="1" x14ac:dyDescent="0.4">
      <c r="A38" s="311" t="s">
        <v>65</v>
      </c>
      <c r="B38" s="312">
        <v>20</v>
      </c>
      <c r="C38" s="318">
        <v>1</v>
      </c>
      <c r="D38" s="319">
        <v>12913622</v>
      </c>
      <c r="E38" s="320">
        <f>IF(ISBLANK(D38),"-",$D$48/$D$45*D38)</f>
        <v>14551491.295442909</v>
      </c>
      <c r="F38" s="319">
        <v>14077581</v>
      </c>
      <c r="G38" s="321">
        <f>IF(ISBLANK(F38),"-",$D$48/$F$45*F38)</f>
        <v>14276770.502044525</v>
      </c>
      <c r="I38" s="322"/>
      <c r="J38" s="299"/>
      <c r="K38" s="299"/>
      <c r="L38" s="304"/>
      <c r="M38" s="304"/>
      <c r="N38" s="305"/>
    </row>
    <row r="39" spans="1:14" s="14" customFormat="1" ht="26.25" customHeight="1" x14ac:dyDescent="0.4">
      <c r="A39" s="311" t="s">
        <v>66</v>
      </c>
      <c r="B39" s="312">
        <v>1</v>
      </c>
      <c r="C39" s="323">
        <v>2</v>
      </c>
      <c r="D39" s="324">
        <v>12898951</v>
      </c>
      <c r="E39" s="325">
        <f>IF(ISBLANK(D39),"-",$D$48/$D$45*D39)</f>
        <v>14534959.533184772</v>
      </c>
      <c r="F39" s="324">
        <v>14099261</v>
      </c>
      <c r="G39" s="326">
        <f>IF(ISBLANK(F39),"-",$D$48/$F$45*F39)</f>
        <v>14298757.261309793</v>
      </c>
      <c r="I39" s="501">
        <f>ABS((F43/D43*D42)-F42)/D42</f>
        <v>2.0667744730882242E-2</v>
      </c>
      <c r="J39" s="299"/>
      <c r="K39" s="299"/>
      <c r="L39" s="304"/>
      <c r="M39" s="304"/>
      <c r="N39" s="305"/>
    </row>
    <row r="40" spans="1:14" ht="26.25" customHeight="1" x14ac:dyDescent="0.4">
      <c r="A40" s="311" t="s">
        <v>67</v>
      </c>
      <c r="B40" s="312">
        <v>1</v>
      </c>
      <c r="C40" s="323">
        <v>3</v>
      </c>
      <c r="D40" s="324">
        <v>12964544</v>
      </c>
      <c r="E40" s="325">
        <f>IF(ISBLANK(D40),"-",$D$48/$D$45*D40)</f>
        <v>14608871.869208081</v>
      </c>
      <c r="F40" s="324">
        <v>14107408</v>
      </c>
      <c r="G40" s="326">
        <f>IF(ISBLANK(F40),"-",$D$48/$F$45*F40)</f>
        <v>14307019.536574284</v>
      </c>
      <c r="I40" s="501"/>
      <c r="L40" s="304"/>
      <c r="M40" s="304"/>
      <c r="N40" s="327"/>
    </row>
    <row r="41" spans="1:14" ht="27" customHeight="1" x14ac:dyDescent="0.4">
      <c r="A41" s="311" t="s">
        <v>68</v>
      </c>
      <c r="B41" s="312">
        <v>1</v>
      </c>
      <c r="C41" s="328">
        <v>4</v>
      </c>
      <c r="D41" s="329"/>
      <c r="E41" s="330" t="str">
        <f>IF(ISBLANK(D41),"-",$D$48/$D$45*D41)</f>
        <v>-</v>
      </c>
      <c r="F41" s="329"/>
      <c r="G41" s="331" t="str">
        <f>IF(ISBLANK(F41),"-",$D$48/$F$45*F41)</f>
        <v>-</v>
      </c>
      <c r="I41" s="332"/>
      <c r="L41" s="304"/>
      <c r="M41" s="304"/>
      <c r="N41" s="327"/>
    </row>
    <row r="42" spans="1:14" ht="27" customHeight="1" x14ac:dyDescent="0.4">
      <c r="A42" s="311" t="s">
        <v>69</v>
      </c>
      <c r="B42" s="312">
        <v>1</v>
      </c>
      <c r="C42" s="333" t="s">
        <v>70</v>
      </c>
      <c r="D42" s="334">
        <f>AVERAGE(D38:D41)</f>
        <v>12925705.666666666</v>
      </c>
      <c r="E42" s="335">
        <f>AVERAGE(E38:E41)</f>
        <v>14565107.565945255</v>
      </c>
      <c r="F42" s="334">
        <f>AVERAGE(F38:F41)</f>
        <v>14094750</v>
      </c>
      <c r="G42" s="336">
        <f>AVERAGE(G38:G41)</f>
        <v>14294182.433309533</v>
      </c>
      <c r="H42" s="337"/>
    </row>
    <row r="43" spans="1:14" ht="26.25" customHeight="1" x14ac:dyDescent="0.4">
      <c r="A43" s="311" t="s">
        <v>71</v>
      </c>
      <c r="B43" s="312">
        <v>1</v>
      </c>
      <c r="C43" s="338" t="s">
        <v>72</v>
      </c>
      <c r="D43" s="339">
        <v>11.16</v>
      </c>
      <c r="E43" s="327"/>
      <c r="F43" s="339">
        <v>12.4</v>
      </c>
      <c r="H43" s="337"/>
    </row>
    <row r="44" spans="1:14" ht="26.25" customHeight="1" x14ac:dyDescent="0.4">
      <c r="A44" s="311" t="s">
        <v>73</v>
      </c>
      <c r="B44" s="312">
        <v>1</v>
      </c>
      <c r="C44" s="340" t="s">
        <v>74</v>
      </c>
      <c r="D44" s="341">
        <f>D43*$B$34</f>
        <v>11.16</v>
      </c>
      <c r="E44" s="342"/>
      <c r="F44" s="341">
        <f>F43*$B$34</f>
        <v>12.4</v>
      </c>
      <c r="H44" s="337"/>
    </row>
    <row r="45" spans="1:14" ht="19.5" customHeight="1" x14ac:dyDescent="0.3">
      <c r="A45" s="311" t="s">
        <v>75</v>
      </c>
      <c r="B45" s="343">
        <f>(B44/B43)*(B42/B41)*(B40/B39)*(B38/B37)*B36</f>
        <v>50</v>
      </c>
      <c r="C45" s="340" t="s">
        <v>76</v>
      </c>
      <c r="D45" s="344">
        <f>D44*$B$30/100</f>
        <v>11.09304</v>
      </c>
      <c r="E45" s="345"/>
      <c r="F45" s="344">
        <f>F44*$B$30/100</f>
        <v>12.325600000000001</v>
      </c>
      <c r="H45" s="337"/>
    </row>
    <row r="46" spans="1:14" ht="19.5" customHeight="1" x14ac:dyDescent="0.3">
      <c r="A46" s="502" t="s">
        <v>77</v>
      </c>
      <c r="B46" s="503"/>
      <c r="C46" s="340" t="s">
        <v>78</v>
      </c>
      <c r="D46" s="346">
        <f>D45/$B$45</f>
        <v>0.2218608</v>
      </c>
      <c r="E46" s="347"/>
      <c r="F46" s="348">
        <f>F45/$B$45</f>
        <v>0.24651200000000004</v>
      </c>
      <c r="H46" s="337"/>
    </row>
    <row r="47" spans="1:14" ht="27" customHeight="1" x14ac:dyDescent="0.4">
      <c r="A47" s="504"/>
      <c r="B47" s="505"/>
      <c r="C47" s="349" t="s">
        <v>79</v>
      </c>
      <c r="D47" s="350">
        <v>0.25</v>
      </c>
      <c r="E47" s="351"/>
      <c r="F47" s="347"/>
      <c r="H47" s="337"/>
    </row>
    <row r="48" spans="1:14" ht="18.75" x14ac:dyDescent="0.3">
      <c r="C48" s="352" t="s">
        <v>80</v>
      </c>
      <c r="D48" s="344">
        <f>D47*$B$45</f>
        <v>12.5</v>
      </c>
      <c r="F48" s="353"/>
      <c r="H48" s="337"/>
    </row>
    <row r="49" spans="1:12" ht="19.5" customHeight="1" x14ac:dyDescent="0.3">
      <c r="C49" s="354" t="s">
        <v>81</v>
      </c>
      <c r="D49" s="355">
        <f>D48/B34</f>
        <v>12.5</v>
      </c>
      <c r="F49" s="353"/>
      <c r="H49" s="337"/>
    </row>
    <row r="50" spans="1:12" ht="18.75" x14ac:dyDescent="0.3">
      <c r="C50" s="309" t="s">
        <v>82</v>
      </c>
      <c r="D50" s="356">
        <f>AVERAGE(E38:E41,G38:G41)</f>
        <v>14429644.999627395</v>
      </c>
      <c r="F50" s="357"/>
      <c r="H50" s="337"/>
    </row>
    <row r="51" spans="1:12" ht="18.75" x14ac:dyDescent="0.3">
      <c r="C51" s="311" t="s">
        <v>83</v>
      </c>
      <c r="D51" s="358">
        <f>STDEV(E38:E41,G38:G41)/D50</f>
        <v>1.0445925087919186E-2</v>
      </c>
      <c r="F51" s="357"/>
      <c r="H51" s="337"/>
    </row>
    <row r="52" spans="1:12" ht="19.5" customHeight="1" x14ac:dyDescent="0.3">
      <c r="C52" s="359" t="s">
        <v>20</v>
      </c>
      <c r="D52" s="360">
        <f>COUNT(E38:E41,G38:G41)</f>
        <v>6</v>
      </c>
      <c r="F52" s="357"/>
    </row>
    <row r="54" spans="1:12" ht="18.75" x14ac:dyDescent="0.3">
      <c r="A54" s="361" t="s">
        <v>1</v>
      </c>
      <c r="B54" s="362" t="s">
        <v>84</v>
      </c>
    </row>
    <row r="55" spans="1:12" ht="18.75" x14ac:dyDescent="0.3">
      <c r="A55" s="286" t="s">
        <v>85</v>
      </c>
      <c r="B55" s="363" t="str">
        <f>B21</f>
        <v>Each film coated tablets contains lopinavir USP 200 mg ritonavir USP 50 mg</v>
      </c>
    </row>
    <row r="56" spans="1:12" ht="26.25" customHeight="1" x14ac:dyDescent="0.4">
      <c r="A56" s="364" t="s">
        <v>86</v>
      </c>
      <c r="B56" s="365">
        <v>50</v>
      </c>
      <c r="C56" s="286" t="str">
        <f>B20</f>
        <v xml:space="preserve"> Ritonavir USP 50 mg</v>
      </c>
      <c r="H56" s="366"/>
    </row>
    <row r="57" spans="1:12" ht="18.75" x14ac:dyDescent="0.3">
      <c r="A57" s="363" t="s">
        <v>87</v>
      </c>
      <c r="B57" s="434">
        <f>Uniformity!C46</f>
        <v>1253.5464999999999</v>
      </c>
      <c r="H57" s="366"/>
    </row>
    <row r="58" spans="1:12" ht="19.5" customHeight="1" x14ac:dyDescent="0.3">
      <c r="H58" s="366"/>
    </row>
    <row r="59" spans="1:12" s="14" customFormat="1" ht="27" customHeight="1" thickBot="1" x14ac:dyDescent="0.45">
      <c r="A59" s="309" t="s">
        <v>88</v>
      </c>
      <c r="B59" s="310">
        <v>200</v>
      </c>
      <c r="C59" s="286"/>
      <c r="D59" s="367" t="s">
        <v>89</v>
      </c>
      <c r="E59" s="368" t="s">
        <v>61</v>
      </c>
      <c r="F59" s="368" t="s">
        <v>62</v>
      </c>
      <c r="G59" s="368" t="s">
        <v>90</v>
      </c>
      <c r="H59" s="313" t="s">
        <v>91</v>
      </c>
      <c r="L59" s="299"/>
    </row>
    <row r="60" spans="1:12" s="14" customFormat="1" ht="26.25" customHeight="1" x14ac:dyDescent="0.4">
      <c r="A60" s="311" t="s">
        <v>92</v>
      </c>
      <c r="B60" s="312">
        <v>1</v>
      </c>
      <c r="C60" s="506" t="s">
        <v>93</v>
      </c>
      <c r="D60" s="509">
        <v>1263.2</v>
      </c>
      <c r="E60" s="369">
        <v>1</v>
      </c>
      <c r="F60" s="370">
        <v>15341033</v>
      </c>
      <c r="G60" s="435">
        <f>IF(ISBLANK(F60),"-",(F60/$D$50*$D$47*$B$68)*($B$57/$D$60))</f>
        <v>52.751801242677509</v>
      </c>
      <c r="H60" s="453">
        <f t="shared" ref="H60:H71" si="0">IF(ISBLANK(F60),"-",(G60/$B$56)*100)</f>
        <v>105.50360248535502</v>
      </c>
      <c r="L60" s="299"/>
    </row>
    <row r="61" spans="1:12" s="14" customFormat="1" ht="26.25" customHeight="1" x14ac:dyDescent="0.4">
      <c r="A61" s="311" t="s">
        <v>94</v>
      </c>
      <c r="B61" s="312">
        <v>1</v>
      </c>
      <c r="C61" s="507"/>
      <c r="D61" s="510"/>
      <c r="E61" s="371">
        <v>2</v>
      </c>
      <c r="F61" s="324">
        <v>15333948</v>
      </c>
      <c r="G61" s="436">
        <f>IF(ISBLANK(F61),"-",(F61/$D$50*$D$47*$B$68)*($B$57/$D$60))</f>
        <v>52.727438703870362</v>
      </c>
      <c r="H61" s="454">
        <f t="shared" si="0"/>
        <v>105.45487740774074</v>
      </c>
      <c r="L61" s="299"/>
    </row>
    <row r="62" spans="1:12" s="14" customFormat="1" ht="26.25" customHeight="1" x14ac:dyDescent="0.4">
      <c r="A62" s="311" t="s">
        <v>95</v>
      </c>
      <c r="B62" s="312">
        <v>1</v>
      </c>
      <c r="C62" s="507"/>
      <c r="D62" s="510"/>
      <c r="E62" s="371">
        <v>3</v>
      </c>
      <c r="F62" s="372">
        <v>15356850</v>
      </c>
      <c r="G62" s="436">
        <f>IF(ISBLANK(F62),"-",(F62/$D$50*$D$47*$B$68)*($B$57/$D$60))</f>
        <v>52.806189707929853</v>
      </c>
      <c r="H62" s="454">
        <f t="shared" si="0"/>
        <v>105.61237941585971</v>
      </c>
      <c r="L62" s="299"/>
    </row>
    <row r="63" spans="1:12" ht="27" customHeight="1" thickBot="1" x14ac:dyDescent="0.45">
      <c r="A63" s="311" t="s">
        <v>96</v>
      </c>
      <c r="B63" s="312">
        <v>1</v>
      </c>
      <c r="C63" s="508"/>
      <c r="D63" s="511"/>
      <c r="E63" s="373">
        <v>4</v>
      </c>
      <c r="F63" s="374"/>
      <c r="G63" s="436" t="str">
        <f>IF(ISBLANK(F63),"-",(F63/$D$50*$D$47*$B$68)*($B$57/$D$60))</f>
        <v>-</v>
      </c>
      <c r="H63" s="454" t="str">
        <f t="shared" si="0"/>
        <v>-</v>
      </c>
    </row>
    <row r="64" spans="1:12" ht="26.25" customHeight="1" x14ac:dyDescent="0.4">
      <c r="A64" s="311" t="s">
        <v>97</v>
      </c>
      <c r="B64" s="312">
        <v>1</v>
      </c>
      <c r="C64" s="506" t="s">
        <v>98</v>
      </c>
      <c r="D64" s="509">
        <v>1247.5899999999999</v>
      </c>
      <c r="E64" s="369">
        <v>1</v>
      </c>
      <c r="F64" s="370">
        <v>15147717</v>
      </c>
      <c r="G64" s="435">
        <f>IF(ISBLANK(F64),"-",(F64/$D$50*$D$47*$B$68)*($B$57/$D$64))</f>
        <v>52.738783029583722</v>
      </c>
      <c r="H64" s="453">
        <f t="shared" si="0"/>
        <v>105.47756605916744</v>
      </c>
    </row>
    <row r="65" spans="1:8" ht="26.25" customHeight="1" x14ac:dyDescent="0.4">
      <c r="A65" s="311" t="s">
        <v>99</v>
      </c>
      <c r="B65" s="312">
        <v>1</v>
      </c>
      <c r="C65" s="507"/>
      <c r="D65" s="510"/>
      <c r="E65" s="371">
        <v>2</v>
      </c>
      <c r="F65" s="324">
        <v>15212060</v>
      </c>
      <c r="G65" s="436">
        <f>IF(ISBLANK(F65),"-",(F65/$D$50*$D$47*$B$68)*($B$57/$D$64))</f>
        <v>52.962801706224731</v>
      </c>
      <c r="H65" s="454">
        <f t="shared" si="0"/>
        <v>105.92560341244945</v>
      </c>
    </row>
    <row r="66" spans="1:8" ht="26.25" customHeight="1" x14ac:dyDescent="0.4">
      <c r="A66" s="311" t="s">
        <v>100</v>
      </c>
      <c r="B66" s="312">
        <v>1</v>
      </c>
      <c r="C66" s="507"/>
      <c r="D66" s="510"/>
      <c r="E66" s="371">
        <v>3</v>
      </c>
      <c r="F66" s="324">
        <v>15225926</v>
      </c>
      <c r="G66" s="436">
        <f>IF(ISBLANK(F66),"-",(F66/$D$50*$D$47*$B$68)*($B$57/$D$64))</f>
        <v>53.011078021757179</v>
      </c>
      <c r="H66" s="454">
        <f t="shared" si="0"/>
        <v>106.02215604351434</v>
      </c>
    </row>
    <row r="67" spans="1:8" ht="27" customHeight="1" thickBot="1" x14ac:dyDescent="0.45">
      <c r="A67" s="311" t="s">
        <v>101</v>
      </c>
      <c r="B67" s="312">
        <v>1</v>
      </c>
      <c r="C67" s="508"/>
      <c r="D67" s="511"/>
      <c r="E67" s="373">
        <v>4</v>
      </c>
      <c r="F67" s="374"/>
      <c r="G67" s="452" t="str">
        <f>IF(ISBLANK(F67),"-",(F67/$D$50*$D$47*$B$68)*($B$57/$D$64))</f>
        <v>-</v>
      </c>
      <c r="H67" s="455" t="str">
        <f t="shared" si="0"/>
        <v>-</v>
      </c>
    </row>
    <row r="68" spans="1:8" ht="26.25" customHeight="1" x14ac:dyDescent="0.4">
      <c r="A68" s="311" t="s">
        <v>102</v>
      </c>
      <c r="B68" s="375">
        <f>(B67/B66)*(B65/B64)*(B63/B62)*(B61/B60)*B59</f>
        <v>200</v>
      </c>
      <c r="C68" s="506" t="s">
        <v>103</v>
      </c>
      <c r="D68" s="509">
        <v>1252.8</v>
      </c>
      <c r="E68" s="369">
        <v>1</v>
      </c>
      <c r="F68" s="370">
        <v>15083082</v>
      </c>
      <c r="G68" s="435">
        <f>IF(ISBLANK(F68),"-",(F68/$D$50*$D$47*$B$68)*($B$57/$D$68))</f>
        <v>52.295359605155205</v>
      </c>
      <c r="H68" s="454">
        <f t="shared" si="0"/>
        <v>104.5907192103104</v>
      </c>
    </row>
    <row r="69" spans="1:8" ht="27" customHeight="1" thickBot="1" x14ac:dyDescent="0.45">
      <c r="A69" s="359" t="s">
        <v>104</v>
      </c>
      <c r="B69" s="376">
        <f>(D47*B68)/B56*B57</f>
        <v>1253.5464999999999</v>
      </c>
      <c r="C69" s="507"/>
      <c r="D69" s="510"/>
      <c r="E69" s="371">
        <v>2</v>
      </c>
      <c r="F69" s="324">
        <v>15129022</v>
      </c>
      <c r="G69" s="436">
        <f>IF(ISBLANK(F69),"-",(F69/$D$50*$D$47*$B$68)*($B$57/$D$68))</f>
        <v>52.454640634076263</v>
      </c>
      <c r="H69" s="454">
        <f t="shared" si="0"/>
        <v>104.90928126815253</v>
      </c>
    </row>
    <row r="70" spans="1:8" ht="26.25" customHeight="1" x14ac:dyDescent="0.4">
      <c r="A70" s="519" t="s">
        <v>77</v>
      </c>
      <c r="B70" s="520"/>
      <c r="C70" s="507"/>
      <c r="D70" s="510"/>
      <c r="E70" s="371">
        <v>3</v>
      </c>
      <c r="F70" s="324">
        <v>15200402</v>
      </c>
      <c r="G70" s="436">
        <f>IF(ISBLANK(F70),"-",(F70/$D$50*$D$47*$B$68)*($B$57/$D$68))</f>
        <v>52.702126046448612</v>
      </c>
      <c r="H70" s="454">
        <f t="shared" si="0"/>
        <v>105.40425209289724</v>
      </c>
    </row>
    <row r="71" spans="1:8" ht="27" customHeight="1" thickBot="1" x14ac:dyDescent="0.45">
      <c r="A71" s="521"/>
      <c r="B71" s="522"/>
      <c r="C71" s="518"/>
      <c r="D71" s="511"/>
      <c r="E71" s="373">
        <v>4</v>
      </c>
      <c r="F71" s="374"/>
      <c r="G71" s="452" t="str">
        <f>IF(ISBLANK(F71),"-",(F71/$D$50*$D$47*$B$68)*($B$57/$D$68))</f>
        <v>-</v>
      </c>
      <c r="H71" s="455" t="str">
        <f t="shared" si="0"/>
        <v>-</v>
      </c>
    </row>
    <row r="72" spans="1:8" ht="26.25" customHeight="1" x14ac:dyDescent="0.4">
      <c r="A72" s="377"/>
      <c r="B72" s="377"/>
      <c r="C72" s="377"/>
      <c r="D72" s="377"/>
      <c r="E72" s="377"/>
      <c r="F72" s="379" t="s">
        <v>70</v>
      </c>
      <c r="G72" s="441">
        <f>AVERAGE(G60:G71)</f>
        <v>52.716690966413715</v>
      </c>
      <c r="H72" s="456">
        <f>AVERAGE(H60:H71)</f>
        <v>105.43338193282743</v>
      </c>
    </row>
    <row r="73" spans="1:8" ht="26.25" customHeight="1" x14ac:dyDescent="0.4">
      <c r="C73" s="377"/>
      <c r="D73" s="377"/>
      <c r="E73" s="377"/>
      <c r="F73" s="380" t="s">
        <v>83</v>
      </c>
      <c r="G73" s="440">
        <f>STDEV(G60:G71)/G72</f>
        <v>4.2600979975872151E-3</v>
      </c>
      <c r="H73" s="440">
        <f>STDEV(H60:H71)/H72</f>
        <v>4.2600979975872056E-3</v>
      </c>
    </row>
    <row r="74" spans="1:8" ht="27" customHeight="1" x14ac:dyDescent="0.4">
      <c r="A74" s="377"/>
      <c r="B74" s="377"/>
      <c r="C74" s="378"/>
      <c r="D74" s="378"/>
      <c r="E74" s="381"/>
      <c r="F74" s="382" t="s">
        <v>20</v>
      </c>
      <c r="G74" s="383">
        <f>COUNT(G60:G71)</f>
        <v>9</v>
      </c>
      <c r="H74" s="383">
        <f>COUNT(H60:H71)</f>
        <v>9</v>
      </c>
    </row>
    <row r="76" spans="1:8" ht="26.25" customHeight="1" x14ac:dyDescent="0.4">
      <c r="A76" s="295" t="s">
        <v>105</v>
      </c>
      <c r="B76" s="384" t="s">
        <v>106</v>
      </c>
      <c r="C76" s="514" t="str">
        <f>B26</f>
        <v>RITONAVIR</v>
      </c>
      <c r="D76" s="514"/>
      <c r="E76" s="385" t="s">
        <v>107</v>
      </c>
      <c r="F76" s="385"/>
      <c r="G76" s="386">
        <f>H72</f>
        <v>105.43338193282743</v>
      </c>
      <c r="H76" s="387"/>
    </row>
    <row r="77" spans="1:8" ht="18.75" x14ac:dyDescent="0.3">
      <c r="A77" s="294" t="s">
        <v>108</v>
      </c>
      <c r="B77" s="294" t="s">
        <v>109</v>
      </c>
    </row>
    <row r="78" spans="1:8" ht="18.75" x14ac:dyDescent="0.3">
      <c r="A78" s="294"/>
      <c r="B78" s="294"/>
    </row>
    <row r="79" spans="1:8" ht="26.25" customHeight="1" x14ac:dyDescent="0.4">
      <c r="A79" s="295" t="s">
        <v>4</v>
      </c>
      <c r="B79" s="500" t="str">
        <f>B26</f>
        <v>RITONAVIR</v>
      </c>
      <c r="C79" s="500"/>
    </row>
    <row r="80" spans="1:8" ht="26.25" customHeight="1" x14ac:dyDescent="0.4">
      <c r="A80" s="296" t="s">
        <v>47</v>
      </c>
      <c r="B80" s="500" t="str">
        <f>B27</f>
        <v>R14 2</v>
      </c>
      <c r="C80" s="500"/>
    </row>
    <row r="81" spans="1:12" ht="27" customHeight="1" x14ac:dyDescent="0.4">
      <c r="A81" s="296" t="s">
        <v>6</v>
      </c>
      <c r="B81" s="388">
        <f>B28</f>
        <v>99.4</v>
      </c>
    </row>
    <row r="82" spans="1:12" s="14" customFormat="1" ht="27" customHeight="1" x14ac:dyDescent="0.4">
      <c r="A82" s="296" t="s">
        <v>48</v>
      </c>
      <c r="B82" s="298">
        <v>0</v>
      </c>
      <c r="C82" s="491" t="s">
        <v>49</v>
      </c>
      <c r="D82" s="492"/>
      <c r="E82" s="492"/>
      <c r="F82" s="492"/>
      <c r="G82" s="493"/>
      <c r="I82" s="299"/>
      <c r="J82" s="299"/>
      <c r="K82" s="299"/>
      <c r="L82" s="299"/>
    </row>
    <row r="83" spans="1:12" s="14" customFormat="1" ht="19.5" customHeight="1" x14ac:dyDescent="0.3">
      <c r="A83" s="296" t="s">
        <v>50</v>
      </c>
      <c r="B83" s="300">
        <f>B81-B82</f>
        <v>99.4</v>
      </c>
      <c r="C83" s="301"/>
      <c r="D83" s="301"/>
      <c r="E83" s="301"/>
      <c r="F83" s="301"/>
      <c r="G83" s="302"/>
      <c r="I83" s="299"/>
      <c r="J83" s="299"/>
      <c r="K83" s="299"/>
      <c r="L83" s="299"/>
    </row>
    <row r="84" spans="1:12" s="14" customFormat="1" ht="27" customHeight="1" x14ac:dyDescent="0.4">
      <c r="A84" s="296" t="s">
        <v>51</v>
      </c>
      <c r="B84" s="303">
        <v>1</v>
      </c>
      <c r="C84" s="494" t="s">
        <v>110</v>
      </c>
      <c r="D84" s="495"/>
      <c r="E84" s="495"/>
      <c r="F84" s="495"/>
      <c r="G84" s="495"/>
      <c r="H84" s="496"/>
      <c r="I84" s="299"/>
      <c r="J84" s="299"/>
      <c r="K84" s="299"/>
      <c r="L84" s="299"/>
    </row>
    <row r="85" spans="1:12" s="14" customFormat="1" ht="27" customHeight="1" x14ac:dyDescent="0.4">
      <c r="A85" s="296" t="s">
        <v>53</v>
      </c>
      <c r="B85" s="303">
        <v>1</v>
      </c>
      <c r="C85" s="494" t="s">
        <v>111</v>
      </c>
      <c r="D85" s="495"/>
      <c r="E85" s="495"/>
      <c r="F85" s="495"/>
      <c r="G85" s="495"/>
      <c r="H85" s="496"/>
      <c r="I85" s="299"/>
      <c r="J85" s="299"/>
      <c r="K85" s="299"/>
      <c r="L85" s="299"/>
    </row>
    <row r="86" spans="1:12" s="14" customFormat="1" ht="18.75" x14ac:dyDescent="0.3">
      <c r="A86" s="296"/>
      <c r="B86" s="306"/>
      <c r="C86" s="307"/>
      <c r="D86" s="307"/>
      <c r="E86" s="307"/>
      <c r="F86" s="307"/>
      <c r="G86" s="307"/>
      <c r="H86" s="307"/>
      <c r="I86" s="299"/>
      <c r="J86" s="299"/>
      <c r="K86" s="299"/>
      <c r="L86" s="299"/>
    </row>
    <row r="87" spans="1:12" s="14" customFormat="1" ht="18.75" x14ac:dyDescent="0.3">
      <c r="A87" s="296" t="s">
        <v>55</v>
      </c>
      <c r="B87" s="308">
        <f>B84/B85</f>
        <v>1</v>
      </c>
      <c r="C87" s="286" t="s">
        <v>56</v>
      </c>
      <c r="D87" s="286"/>
      <c r="E87" s="286"/>
      <c r="F87" s="286"/>
      <c r="G87" s="286"/>
      <c r="I87" s="299"/>
      <c r="J87" s="299"/>
      <c r="K87" s="299"/>
      <c r="L87" s="299"/>
    </row>
    <row r="88" spans="1:12" ht="19.5" customHeight="1" x14ac:dyDescent="0.3">
      <c r="A88" s="294"/>
      <c r="B88" s="294"/>
    </row>
    <row r="89" spans="1:12" ht="27" customHeight="1" x14ac:dyDescent="0.4">
      <c r="A89" s="309" t="s">
        <v>57</v>
      </c>
      <c r="B89" s="310">
        <v>25</v>
      </c>
      <c r="D89" s="389" t="s">
        <v>58</v>
      </c>
      <c r="E89" s="390"/>
      <c r="F89" s="497" t="s">
        <v>59</v>
      </c>
      <c r="G89" s="499"/>
    </row>
    <row r="90" spans="1:12" ht="27" customHeight="1" x14ac:dyDescent="0.4">
      <c r="A90" s="311" t="s">
        <v>60</v>
      </c>
      <c r="B90" s="312">
        <v>10</v>
      </c>
      <c r="C90" s="391" t="s">
        <v>61</v>
      </c>
      <c r="D90" s="314" t="s">
        <v>62</v>
      </c>
      <c r="E90" s="315" t="s">
        <v>63</v>
      </c>
      <c r="F90" s="314" t="s">
        <v>62</v>
      </c>
      <c r="G90" s="392" t="s">
        <v>63</v>
      </c>
      <c r="I90" s="317" t="s">
        <v>64</v>
      </c>
    </row>
    <row r="91" spans="1:12" ht="26.25" customHeight="1" x14ac:dyDescent="0.4">
      <c r="A91" s="311" t="s">
        <v>65</v>
      </c>
      <c r="B91" s="312">
        <v>20</v>
      </c>
      <c r="C91" s="393">
        <v>1</v>
      </c>
      <c r="D91" s="319">
        <v>2687177</v>
      </c>
      <c r="E91" s="320">
        <f>IF(ISBLANK(D91),"-",$D$101/$D$98*D91)</f>
        <v>3364443.1803885833</v>
      </c>
      <c r="F91" s="319">
        <v>2901093</v>
      </c>
      <c r="G91" s="321">
        <f>IF(ISBLANK(F91),"-",$D$101/$F$98*F91)</f>
        <v>3269046.4020683235</v>
      </c>
      <c r="I91" s="322"/>
    </row>
    <row r="92" spans="1:12" ht="26.25" customHeight="1" x14ac:dyDescent="0.4">
      <c r="A92" s="311" t="s">
        <v>66</v>
      </c>
      <c r="B92" s="312">
        <v>2</v>
      </c>
      <c r="C92" s="378">
        <v>2</v>
      </c>
      <c r="D92" s="324">
        <v>2683142</v>
      </c>
      <c r="E92" s="325">
        <f>IF(ISBLANK(D92),"-",$D$101/$D$98*D92)</f>
        <v>3359391.213870238</v>
      </c>
      <c r="F92" s="324">
        <v>2899312</v>
      </c>
      <c r="G92" s="326">
        <f>IF(ISBLANK(F92),"-",$D$101/$F$98*F92)</f>
        <v>3267039.5130640469</v>
      </c>
      <c r="I92" s="501">
        <f>ABS((F96/D96*D95)-F95)/D95</f>
        <v>2.9994217206888461E-2</v>
      </c>
    </row>
    <row r="93" spans="1:12" ht="26.25" customHeight="1" x14ac:dyDescent="0.4">
      <c r="A93" s="311" t="s">
        <v>67</v>
      </c>
      <c r="B93" s="312">
        <v>10</v>
      </c>
      <c r="C93" s="378">
        <v>3</v>
      </c>
      <c r="D93" s="324">
        <v>2679040</v>
      </c>
      <c r="E93" s="325">
        <f>IF(ISBLANK(D93),"-",$D$101/$D$98*D93)</f>
        <v>3354255.3609189983</v>
      </c>
      <c r="F93" s="324">
        <v>2901893</v>
      </c>
      <c r="G93" s="326">
        <f>IF(ISBLANK(F93),"-",$D$101/$F$98*F93)</f>
        <v>3269947.868212861</v>
      </c>
      <c r="I93" s="501"/>
    </row>
    <row r="94" spans="1:12" ht="27" customHeight="1" x14ac:dyDescent="0.4">
      <c r="A94" s="311" t="s">
        <v>68</v>
      </c>
      <c r="B94" s="312">
        <v>1</v>
      </c>
      <c r="C94" s="394">
        <v>4</v>
      </c>
      <c r="D94" s="329"/>
      <c r="E94" s="330" t="str">
        <f>IF(ISBLANK(D94),"-",$D$101/$D$98*D94)</f>
        <v>-</v>
      </c>
      <c r="F94" s="395"/>
      <c r="G94" s="331" t="str">
        <f>IF(ISBLANK(F94),"-",$D$101/$F$98*F94)</f>
        <v>-</v>
      </c>
      <c r="I94" s="332"/>
    </row>
    <row r="95" spans="1:12" ht="27" customHeight="1" x14ac:dyDescent="0.4">
      <c r="A95" s="311" t="s">
        <v>69</v>
      </c>
      <c r="B95" s="312">
        <v>1</v>
      </c>
      <c r="C95" s="396" t="s">
        <v>70</v>
      </c>
      <c r="D95" s="397">
        <f>AVERAGE(D91:D94)</f>
        <v>2683119.6666666665</v>
      </c>
      <c r="E95" s="335">
        <f>AVERAGE(E91:E94)</f>
        <v>3359363.25172594</v>
      </c>
      <c r="F95" s="398">
        <f>AVERAGE(F91:F94)</f>
        <v>2900766</v>
      </c>
      <c r="G95" s="399">
        <f>AVERAGE(G91:G94)</f>
        <v>3268677.9277817435</v>
      </c>
    </row>
    <row r="96" spans="1:12" ht="26.25" customHeight="1" x14ac:dyDescent="0.4">
      <c r="A96" s="311" t="s">
        <v>71</v>
      </c>
      <c r="B96" s="297">
        <v>1</v>
      </c>
      <c r="C96" s="400" t="s">
        <v>112</v>
      </c>
      <c r="D96" s="401">
        <v>11.16</v>
      </c>
      <c r="E96" s="327"/>
      <c r="F96" s="339">
        <v>12.4</v>
      </c>
    </row>
    <row r="97" spans="1:10" ht="26.25" customHeight="1" x14ac:dyDescent="0.4">
      <c r="A97" s="311" t="s">
        <v>73</v>
      </c>
      <c r="B97" s="297">
        <v>1</v>
      </c>
      <c r="C97" s="402" t="s">
        <v>113</v>
      </c>
      <c r="D97" s="403">
        <f>D96*$B$87</f>
        <v>11.16</v>
      </c>
      <c r="E97" s="342"/>
      <c r="F97" s="341">
        <f>F96*$B$87</f>
        <v>12.4</v>
      </c>
    </row>
    <row r="98" spans="1:10" ht="19.5" customHeight="1" x14ac:dyDescent="0.3">
      <c r="A98" s="311" t="s">
        <v>75</v>
      </c>
      <c r="B98" s="404">
        <f>(B97/B96)*(B95/B94)*(B93/B92)*(B91/B90)*B89</f>
        <v>250</v>
      </c>
      <c r="C98" s="402" t="s">
        <v>114</v>
      </c>
      <c r="D98" s="405">
        <f>D97*$B$83/100</f>
        <v>11.09304</v>
      </c>
      <c r="E98" s="345"/>
      <c r="F98" s="344">
        <f>F97*$B$83/100</f>
        <v>12.325600000000001</v>
      </c>
    </row>
    <row r="99" spans="1:10" ht="19.5" customHeight="1" x14ac:dyDescent="0.3">
      <c r="A99" s="502" t="s">
        <v>77</v>
      </c>
      <c r="B99" s="516"/>
      <c r="C99" s="402" t="s">
        <v>115</v>
      </c>
      <c r="D99" s="406">
        <f>D98/$B$98</f>
        <v>4.4372160000000001E-2</v>
      </c>
      <c r="E99" s="345"/>
      <c r="F99" s="348">
        <f>F98/$B$98</f>
        <v>4.9302400000000003E-2</v>
      </c>
      <c r="G99" s="407"/>
      <c r="H99" s="337"/>
    </row>
    <row r="100" spans="1:10" ht="19.5" customHeight="1" x14ac:dyDescent="0.3">
      <c r="A100" s="504"/>
      <c r="B100" s="517"/>
      <c r="C100" s="402" t="s">
        <v>79</v>
      </c>
      <c r="D100" s="408">
        <f>$B$56/$B$116</f>
        <v>5.5555555555555552E-2</v>
      </c>
      <c r="F100" s="353"/>
      <c r="G100" s="409"/>
      <c r="H100" s="337"/>
    </row>
    <row r="101" spans="1:10" ht="18.75" x14ac:dyDescent="0.3">
      <c r="C101" s="402" t="s">
        <v>80</v>
      </c>
      <c r="D101" s="403">
        <f>D100*$B$98</f>
        <v>13.888888888888888</v>
      </c>
      <c r="F101" s="353"/>
      <c r="G101" s="407"/>
      <c r="H101" s="337"/>
    </row>
    <row r="102" spans="1:10" ht="19.5" customHeight="1" x14ac:dyDescent="0.3">
      <c r="C102" s="410" t="s">
        <v>81</v>
      </c>
      <c r="D102" s="411">
        <f>D101/B34</f>
        <v>13.888888888888888</v>
      </c>
      <c r="F102" s="357"/>
      <c r="G102" s="407"/>
      <c r="H102" s="337"/>
      <c r="J102" s="412"/>
    </row>
    <row r="103" spans="1:10" ht="18.75" x14ac:dyDescent="0.3">
      <c r="C103" s="413" t="s">
        <v>116</v>
      </c>
      <c r="D103" s="414">
        <f>AVERAGE(E91:E94,G91:G94)</f>
        <v>3314020.589753842</v>
      </c>
      <c r="F103" s="357"/>
      <c r="G103" s="415"/>
      <c r="H103" s="337"/>
      <c r="J103" s="416"/>
    </row>
    <row r="104" spans="1:10" ht="18.75" x14ac:dyDescent="0.3">
      <c r="C104" s="380" t="s">
        <v>83</v>
      </c>
      <c r="D104" s="417">
        <f>STDEV(E91:E94,G91:G94)/D103</f>
        <v>1.5022138362637674E-2</v>
      </c>
      <c r="F104" s="357"/>
      <c r="G104" s="407"/>
      <c r="H104" s="337"/>
      <c r="J104" s="416"/>
    </row>
    <row r="105" spans="1:10" ht="19.5" customHeight="1" x14ac:dyDescent="0.3">
      <c r="C105" s="382" t="s">
        <v>20</v>
      </c>
      <c r="D105" s="418">
        <f>COUNT(E91:E94,G91:G94)</f>
        <v>6</v>
      </c>
      <c r="F105" s="357"/>
      <c r="G105" s="407"/>
      <c r="H105" s="337"/>
      <c r="J105" s="416"/>
    </row>
    <row r="106" spans="1:10" ht="19.5" customHeight="1" x14ac:dyDescent="0.3">
      <c r="A106" s="361"/>
      <c r="B106" s="361"/>
      <c r="C106" s="361"/>
      <c r="D106" s="361"/>
      <c r="E106" s="361"/>
    </row>
    <row r="107" spans="1:10" ht="27" customHeight="1" x14ac:dyDescent="0.4">
      <c r="A107" s="309" t="s">
        <v>117</v>
      </c>
      <c r="B107" s="310">
        <v>900</v>
      </c>
      <c r="C107" s="457" t="s">
        <v>118</v>
      </c>
      <c r="D107" s="457" t="s">
        <v>62</v>
      </c>
      <c r="E107" s="457" t="s">
        <v>119</v>
      </c>
      <c r="F107" s="419" t="s">
        <v>120</v>
      </c>
    </row>
    <row r="108" spans="1:10" ht="26.25" customHeight="1" x14ac:dyDescent="0.4">
      <c r="A108" s="311" t="s">
        <v>121</v>
      </c>
      <c r="B108" s="312">
        <v>1</v>
      </c>
      <c r="C108" s="462">
        <v>1</v>
      </c>
      <c r="D108" s="463">
        <v>3230659</v>
      </c>
      <c r="E108" s="437">
        <f t="shared" ref="E108:E113" si="1">IF(ISBLANK(D108),"-",D108/$D$103*$D$100*$B$116)</f>
        <v>48.742289199838162</v>
      </c>
      <c r="F108" s="464">
        <f t="shared" ref="F108:F113" si="2">IF(ISBLANK(D108), "-", (E108/$B$56)*100)</f>
        <v>97.484578399676323</v>
      </c>
    </row>
    <row r="109" spans="1:10" ht="26.25" customHeight="1" x14ac:dyDescent="0.4">
      <c r="A109" s="311" t="s">
        <v>94</v>
      </c>
      <c r="B109" s="312">
        <v>1</v>
      </c>
      <c r="C109" s="458">
        <v>2</v>
      </c>
      <c r="D109" s="460">
        <v>3275525</v>
      </c>
      <c r="E109" s="438">
        <f t="shared" si="1"/>
        <v>49.419201107668712</v>
      </c>
      <c r="F109" s="465">
        <f t="shared" si="2"/>
        <v>98.838402215337425</v>
      </c>
    </row>
    <row r="110" spans="1:10" ht="26.25" customHeight="1" x14ac:dyDescent="0.4">
      <c r="A110" s="311" t="s">
        <v>95</v>
      </c>
      <c r="B110" s="312">
        <v>1</v>
      </c>
      <c r="C110" s="458">
        <v>3</v>
      </c>
      <c r="D110" s="460">
        <v>3280602</v>
      </c>
      <c r="E110" s="438">
        <f t="shared" si="1"/>
        <v>49.495799907562969</v>
      </c>
      <c r="F110" s="465">
        <f t="shared" si="2"/>
        <v>98.991599815125937</v>
      </c>
    </row>
    <row r="111" spans="1:10" ht="26.25" customHeight="1" x14ac:dyDescent="0.4">
      <c r="A111" s="311" t="s">
        <v>96</v>
      </c>
      <c r="B111" s="312">
        <v>1</v>
      </c>
      <c r="C111" s="458">
        <v>4</v>
      </c>
      <c r="D111" s="460">
        <v>3283586</v>
      </c>
      <c r="E111" s="438">
        <f t="shared" si="1"/>
        <v>49.54082075036078</v>
      </c>
      <c r="F111" s="465">
        <f t="shared" si="2"/>
        <v>99.08164150072156</v>
      </c>
    </row>
    <row r="112" spans="1:10" ht="26.25" customHeight="1" x14ac:dyDescent="0.4">
      <c r="A112" s="311" t="s">
        <v>97</v>
      </c>
      <c r="B112" s="312">
        <v>1</v>
      </c>
      <c r="C112" s="458">
        <v>5</v>
      </c>
      <c r="D112" s="460">
        <v>3227355</v>
      </c>
      <c r="E112" s="438">
        <f t="shared" si="1"/>
        <v>48.692440384622365</v>
      </c>
      <c r="F112" s="465">
        <f t="shared" si="2"/>
        <v>97.384880769244731</v>
      </c>
    </row>
    <row r="113" spans="1:10" ht="27" customHeight="1" x14ac:dyDescent="0.4">
      <c r="A113" s="311" t="s">
        <v>99</v>
      </c>
      <c r="B113" s="312">
        <v>1</v>
      </c>
      <c r="C113" s="459">
        <v>6</v>
      </c>
      <c r="D113" s="461">
        <v>3226817</v>
      </c>
      <c r="E113" s="439">
        <f t="shared" si="1"/>
        <v>48.684323355994607</v>
      </c>
      <c r="F113" s="466">
        <f t="shared" si="2"/>
        <v>97.368646711989214</v>
      </c>
    </row>
    <row r="114" spans="1:10" ht="27" customHeight="1" x14ac:dyDescent="0.4">
      <c r="A114" s="311" t="s">
        <v>100</v>
      </c>
      <c r="B114" s="312">
        <v>1</v>
      </c>
      <c r="C114" s="420"/>
      <c r="D114" s="378"/>
      <c r="E114" s="285"/>
      <c r="F114" s="467"/>
    </row>
    <row r="115" spans="1:10" ht="26.25" customHeight="1" x14ac:dyDescent="0.4">
      <c r="A115" s="311" t="s">
        <v>101</v>
      </c>
      <c r="B115" s="312">
        <v>1</v>
      </c>
      <c r="C115" s="420"/>
      <c r="D115" s="444" t="s">
        <v>70</v>
      </c>
      <c r="E115" s="446">
        <f>AVERAGE(E108:E113)</f>
        <v>49.09581245100793</v>
      </c>
      <c r="F115" s="468">
        <f>AVERAGE(F108:F113)</f>
        <v>98.19162490201586</v>
      </c>
    </row>
    <row r="116" spans="1:10" ht="27" customHeight="1" x14ac:dyDescent="0.4">
      <c r="A116" s="311" t="s">
        <v>102</v>
      </c>
      <c r="B116" s="343">
        <f>(B115/B114)*(B113/B112)*(B111/B110)*(B109/B108)*B107</f>
        <v>900</v>
      </c>
      <c r="C116" s="421"/>
      <c r="D116" s="445" t="s">
        <v>83</v>
      </c>
      <c r="E116" s="443">
        <f>STDEV(E108:E113)/E115</f>
        <v>8.7352075961326728E-3</v>
      </c>
      <c r="F116" s="422">
        <f>STDEV(F108:F113)/F115</f>
        <v>8.7352075961326728E-3</v>
      </c>
      <c r="I116" s="285"/>
    </row>
    <row r="117" spans="1:10" ht="27" customHeight="1" x14ac:dyDescent="0.4">
      <c r="A117" s="502" t="s">
        <v>77</v>
      </c>
      <c r="B117" s="503"/>
      <c r="C117" s="423"/>
      <c r="D117" s="382" t="s">
        <v>20</v>
      </c>
      <c r="E117" s="448">
        <f>COUNT(E108:E113)</f>
        <v>6</v>
      </c>
      <c r="F117" s="449">
        <f>COUNT(F108:F113)</f>
        <v>6</v>
      </c>
      <c r="I117" s="285"/>
      <c r="J117" s="416"/>
    </row>
    <row r="118" spans="1:10" ht="26.25" customHeight="1" x14ac:dyDescent="0.3">
      <c r="A118" s="504"/>
      <c r="B118" s="505"/>
      <c r="C118" s="285"/>
      <c r="D118" s="447"/>
      <c r="E118" s="482" t="s">
        <v>122</v>
      </c>
      <c r="F118" s="483"/>
      <c r="G118" s="285"/>
      <c r="H118" s="285"/>
      <c r="I118" s="285"/>
    </row>
    <row r="119" spans="1:10" ht="25.5" customHeight="1" x14ac:dyDescent="0.4">
      <c r="A119" s="432"/>
      <c r="B119" s="307"/>
      <c r="C119" s="285"/>
      <c r="D119" s="445" t="s">
        <v>123</v>
      </c>
      <c r="E119" s="450">
        <f>MIN(E108:E113)</f>
        <v>48.684323355994607</v>
      </c>
      <c r="F119" s="469">
        <f>MIN(F108:F113)</f>
        <v>97.368646711989214</v>
      </c>
      <c r="G119" s="285"/>
      <c r="H119" s="285"/>
      <c r="I119" s="285"/>
    </row>
    <row r="120" spans="1:10" ht="24" customHeight="1" x14ac:dyDescent="0.4">
      <c r="A120" s="432"/>
      <c r="B120" s="307"/>
      <c r="C120" s="285"/>
      <c r="D120" s="354" t="s">
        <v>124</v>
      </c>
      <c r="E120" s="451">
        <f>MAX(E108:E113)</f>
        <v>49.54082075036078</v>
      </c>
      <c r="F120" s="470">
        <f>MAX(F108:F113)</f>
        <v>99.08164150072156</v>
      </c>
      <c r="G120" s="285"/>
      <c r="H120" s="285"/>
      <c r="I120" s="285"/>
    </row>
    <row r="121" spans="1:10" ht="27" customHeight="1" x14ac:dyDescent="0.3">
      <c r="A121" s="432"/>
      <c r="B121" s="307"/>
      <c r="C121" s="285"/>
      <c r="D121" s="285"/>
      <c r="E121" s="285"/>
      <c r="F121" s="378"/>
      <c r="G121" s="285"/>
      <c r="H121" s="285"/>
      <c r="I121" s="285"/>
    </row>
    <row r="122" spans="1:10" ht="25.5" customHeight="1" x14ac:dyDescent="0.3">
      <c r="A122" s="432"/>
      <c r="B122" s="307"/>
      <c r="C122" s="285"/>
      <c r="D122" s="285"/>
      <c r="E122" s="285"/>
      <c r="F122" s="378"/>
      <c r="G122" s="285"/>
      <c r="H122" s="285"/>
      <c r="I122" s="285"/>
    </row>
    <row r="123" spans="1:10" ht="18.75" x14ac:dyDescent="0.3">
      <c r="A123" s="432"/>
      <c r="B123" s="307"/>
      <c r="C123" s="285"/>
      <c r="D123" s="285"/>
      <c r="E123" s="285"/>
      <c r="F123" s="378"/>
      <c r="G123" s="285"/>
      <c r="H123" s="285"/>
      <c r="I123" s="285"/>
    </row>
    <row r="124" spans="1:10" ht="45.75" customHeight="1" x14ac:dyDescent="0.65">
      <c r="A124" s="295" t="s">
        <v>105</v>
      </c>
      <c r="B124" s="384" t="s">
        <v>125</v>
      </c>
      <c r="C124" s="514" t="str">
        <f>B26</f>
        <v>RITONAVIR</v>
      </c>
      <c r="D124" s="514"/>
      <c r="E124" s="385" t="s">
        <v>126</v>
      </c>
      <c r="F124" s="385"/>
      <c r="G124" s="471">
        <f>F115</f>
        <v>98.19162490201586</v>
      </c>
      <c r="H124" s="285"/>
      <c r="I124" s="285"/>
    </row>
    <row r="125" spans="1:10" ht="45.75" customHeight="1" x14ac:dyDescent="0.65">
      <c r="A125" s="295"/>
      <c r="B125" s="384" t="s">
        <v>127</v>
      </c>
      <c r="C125" s="296" t="s">
        <v>128</v>
      </c>
      <c r="D125" s="471">
        <f>MIN(F108:F113)</f>
        <v>97.368646711989214</v>
      </c>
      <c r="E125" s="396" t="s">
        <v>129</v>
      </c>
      <c r="F125" s="471">
        <f>MAX(F108:F113)</f>
        <v>99.08164150072156</v>
      </c>
      <c r="G125" s="386"/>
      <c r="H125" s="285"/>
      <c r="I125" s="285"/>
    </row>
    <row r="126" spans="1:10" ht="19.5" customHeight="1" x14ac:dyDescent="0.3">
      <c r="A126" s="424"/>
      <c r="B126" s="424"/>
      <c r="C126" s="425"/>
      <c r="D126" s="425"/>
      <c r="E126" s="425"/>
      <c r="F126" s="425"/>
      <c r="G126" s="425"/>
      <c r="H126" s="425"/>
    </row>
    <row r="127" spans="1:10" ht="18.75" x14ac:dyDescent="0.3">
      <c r="B127" s="515" t="s">
        <v>25</v>
      </c>
      <c r="C127" s="515"/>
      <c r="E127" s="391" t="s">
        <v>26</v>
      </c>
      <c r="F127" s="426"/>
      <c r="G127" s="515" t="s">
        <v>27</v>
      </c>
      <c r="H127" s="515"/>
    </row>
    <row r="128" spans="1:10" ht="69.95" customHeight="1" x14ac:dyDescent="0.3">
      <c r="A128" s="427" t="s">
        <v>28</v>
      </c>
      <c r="B128" s="428"/>
      <c r="C128" s="428"/>
      <c r="E128" s="428"/>
      <c r="F128" s="285"/>
      <c r="G128" s="429"/>
      <c r="H128" s="429"/>
    </row>
    <row r="129" spans="1:9" ht="69.95" customHeight="1" x14ac:dyDescent="0.3">
      <c r="A129" s="427" t="s">
        <v>29</v>
      </c>
      <c r="B129" s="430"/>
      <c r="C129" s="430"/>
      <c r="E129" s="430"/>
      <c r="F129" s="285"/>
      <c r="G129" s="431"/>
      <c r="H129" s="431"/>
    </row>
    <row r="130" spans="1:9" ht="18.75" x14ac:dyDescent="0.3">
      <c r="A130" s="377"/>
      <c r="B130" s="377"/>
      <c r="C130" s="378"/>
      <c r="D130" s="378"/>
      <c r="E130" s="378"/>
      <c r="F130" s="381"/>
      <c r="G130" s="378"/>
      <c r="H130" s="378"/>
      <c r="I130" s="285"/>
    </row>
    <row r="131" spans="1:9" ht="18.75" x14ac:dyDescent="0.3">
      <c r="A131" s="377"/>
      <c r="B131" s="377"/>
      <c r="C131" s="378"/>
      <c r="D131" s="378"/>
      <c r="E131" s="378"/>
      <c r="F131" s="381"/>
      <c r="G131" s="378"/>
      <c r="H131" s="378"/>
      <c r="I131" s="285"/>
    </row>
    <row r="132" spans="1:9" ht="18.75" x14ac:dyDescent="0.3">
      <c r="A132" s="377"/>
      <c r="B132" s="377"/>
      <c r="C132" s="378"/>
      <c r="D132" s="378"/>
      <c r="E132" s="378"/>
      <c r="F132" s="381"/>
      <c r="G132" s="378"/>
      <c r="H132" s="378"/>
      <c r="I132" s="285"/>
    </row>
    <row r="133" spans="1:9" ht="18.75" x14ac:dyDescent="0.3">
      <c r="A133" s="377"/>
      <c r="B133" s="377"/>
      <c r="C133" s="378"/>
      <c r="D133" s="378"/>
      <c r="E133" s="378"/>
      <c r="F133" s="381"/>
      <c r="G133" s="378"/>
      <c r="H133" s="378"/>
      <c r="I133" s="285"/>
    </row>
    <row r="134" spans="1:9" ht="18.75" x14ac:dyDescent="0.3">
      <c r="A134" s="377"/>
      <c r="B134" s="377"/>
      <c r="C134" s="378"/>
      <c r="D134" s="378"/>
      <c r="E134" s="378"/>
      <c r="F134" s="381"/>
      <c r="G134" s="378"/>
      <c r="H134" s="378"/>
      <c r="I134" s="285"/>
    </row>
    <row r="135" spans="1:9" ht="18.75" x14ac:dyDescent="0.3">
      <c r="A135" s="377"/>
      <c r="B135" s="377"/>
      <c r="C135" s="378"/>
      <c r="D135" s="378"/>
      <c r="E135" s="378"/>
      <c r="F135" s="381"/>
      <c r="G135" s="378"/>
      <c r="H135" s="378"/>
      <c r="I135" s="285"/>
    </row>
    <row r="136" spans="1:9" ht="18.75" x14ac:dyDescent="0.3">
      <c r="A136" s="377"/>
      <c r="B136" s="377"/>
      <c r="C136" s="378"/>
      <c r="D136" s="378"/>
      <c r="E136" s="378"/>
      <c r="F136" s="381"/>
      <c r="G136" s="378"/>
      <c r="H136" s="378"/>
      <c r="I136" s="285"/>
    </row>
    <row r="137" spans="1:9" ht="18.75" x14ac:dyDescent="0.3">
      <c r="A137" s="377"/>
      <c r="B137" s="377"/>
      <c r="C137" s="378"/>
      <c r="D137" s="378"/>
      <c r="E137" s="378"/>
      <c r="F137" s="381"/>
      <c r="G137" s="378"/>
      <c r="H137" s="378"/>
      <c r="I137" s="285"/>
    </row>
    <row r="138" spans="1:9" ht="18.75" x14ac:dyDescent="0.3">
      <c r="A138" s="377"/>
      <c r="B138" s="377"/>
      <c r="C138" s="378"/>
      <c r="D138" s="378"/>
      <c r="E138" s="378"/>
      <c r="F138" s="381"/>
      <c r="G138" s="378"/>
      <c r="H138" s="378"/>
      <c r="I138" s="285"/>
    </row>
    <row r="250" spans="1:1" x14ac:dyDescent="0.25">
      <c r="A250" s="2">
        <v>0</v>
      </c>
    </row>
  </sheetData>
  <sheetProtection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Lopinavir</vt:lpstr>
      <vt:lpstr>Ritonavir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2017-03-30T09:27:35Z</dcterms:modified>
</cp:coreProperties>
</file>