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Uniformity" sheetId="2" r:id="rId1"/>
    <sheet name="SST" sheetId="5" r:id="rId2"/>
    <sheet name="Lopinavir" sheetId="3" r:id="rId3"/>
    <sheet name="Ritonavir" sheetId="4" r:id="rId4"/>
  </sheets>
  <definedNames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9" i="3" s="1"/>
  <c r="D44" i="3"/>
  <c r="F42" i="3"/>
  <c r="D42" i="3"/>
  <c r="B34" i="3"/>
  <c r="F44" i="3" s="1"/>
  <c r="B30" i="3"/>
  <c r="D50" i="2"/>
  <c r="B49" i="2"/>
  <c r="C46" i="2"/>
  <c r="B57" i="4" s="1"/>
  <c r="C45" i="2"/>
  <c r="D42" i="2"/>
  <c r="D41" i="2"/>
  <c r="D38" i="2"/>
  <c r="D37" i="2"/>
  <c r="D36" i="2"/>
  <c r="D34" i="2"/>
  <c r="D33" i="2"/>
  <c r="D32" i="2"/>
  <c r="D31" i="2"/>
  <c r="D30" i="2"/>
  <c r="D29" i="2"/>
  <c r="D28" i="2"/>
  <c r="D27" i="2"/>
  <c r="D26" i="2"/>
  <c r="D25" i="2"/>
  <c r="D24" i="2"/>
  <c r="C19" i="2"/>
  <c r="D101" i="4" l="1"/>
  <c r="D102" i="4" s="1"/>
  <c r="I92" i="4"/>
  <c r="B69" i="4"/>
  <c r="I39" i="4"/>
  <c r="F45" i="4"/>
  <c r="F46" i="4" s="1"/>
  <c r="D101" i="3"/>
  <c r="D102" i="3" s="1"/>
  <c r="I92" i="3"/>
  <c r="F97" i="3"/>
  <c r="F98" i="3" s="1"/>
  <c r="F99" i="3" s="1"/>
  <c r="I39" i="3"/>
  <c r="F45" i="3"/>
  <c r="F46" i="3" s="1"/>
  <c r="D45" i="3"/>
  <c r="D98" i="3"/>
  <c r="D99" i="3" s="1"/>
  <c r="F98" i="4"/>
  <c r="F99" i="4" s="1"/>
  <c r="G39" i="4"/>
  <c r="D49" i="4"/>
  <c r="E40" i="3"/>
  <c r="E38" i="3"/>
  <c r="E41" i="3"/>
  <c r="D46" i="3"/>
  <c r="E39" i="3"/>
  <c r="D35" i="2"/>
  <c r="D39" i="2"/>
  <c r="D43" i="2"/>
  <c r="C49" i="2"/>
  <c r="D97" i="4"/>
  <c r="D98" i="4" s="1"/>
  <c r="D99" i="4" s="1"/>
  <c r="D40" i="2"/>
  <c r="D49" i="2"/>
  <c r="B57" i="3"/>
  <c r="B69" i="3" s="1"/>
  <c r="D44" i="4"/>
  <c r="D45" i="4" s="1"/>
  <c r="D46" i="4" s="1"/>
  <c r="C50" i="2"/>
  <c r="G41" i="4" l="1"/>
  <c r="G40" i="4"/>
  <c r="G38" i="4"/>
  <c r="G91" i="4"/>
  <c r="G94" i="4"/>
  <c r="G92" i="4"/>
  <c r="G93" i="4"/>
  <c r="G93" i="3"/>
  <c r="E91" i="3"/>
  <c r="E93" i="3"/>
  <c r="E92" i="3"/>
  <c r="G40" i="3"/>
  <c r="G41" i="3"/>
  <c r="G39" i="3"/>
  <c r="G38" i="3"/>
  <c r="G94" i="3"/>
  <c r="G91" i="3"/>
  <c r="E94" i="3"/>
  <c r="G92" i="3"/>
  <c r="E42" i="3"/>
  <c r="E40" i="4"/>
  <c r="E92" i="4"/>
  <c r="E94" i="4"/>
  <c r="E39" i="4"/>
  <c r="E93" i="4"/>
  <c r="E38" i="4"/>
  <c r="E41" i="4"/>
  <c r="E91" i="4"/>
  <c r="G95" i="4" l="1"/>
  <c r="G42" i="4"/>
  <c r="D105" i="3"/>
  <c r="E95" i="3"/>
  <c r="G42" i="3"/>
  <c r="D50" i="3"/>
  <c r="G71" i="3" s="1"/>
  <c r="H71" i="3" s="1"/>
  <c r="D52" i="3"/>
  <c r="D103" i="3"/>
  <c r="E113" i="3" s="1"/>
  <c r="F113" i="3" s="1"/>
  <c r="G95" i="3"/>
  <c r="D103" i="4"/>
  <c r="E95" i="4"/>
  <c r="D105" i="4"/>
  <c r="D50" i="4"/>
  <c r="E42" i="4"/>
  <c r="D52" i="4"/>
  <c r="D104" i="3" l="1"/>
  <c r="E108" i="3"/>
  <c r="F108" i="3" s="1"/>
  <c r="D51" i="3"/>
  <c r="G70" i="3"/>
  <c r="H70" i="3" s="1"/>
  <c r="G61" i="3"/>
  <c r="H61" i="3" s="1"/>
  <c r="G64" i="3"/>
  <c r="H64" i="3" s="1"/>
  <c r="G63" i="3"/>
  <c r="H63" i="3" s="1"/>
  <c r="G66" i="3"/>
  <c r="H66" i="3" s="1"/>
  <c r="G68" i="3"/>
  <c r="H68" i="3" s="1"/>
  <c r="G65" i="3"/>
  <c r="H65" i="3" s="1"/>
  <c r="G60" i="3"/>
  <c r="H60" i="3" s="1"/>
  <c r="G69" i="3"/>
  <c r="H69" i="3" s="1"/>
  <c r="G67" i="3"/>
  <c r="H67" i="3" s="1"/>
  <c r="G62" i="3"/>
  <c r="H62" i="3" s="1"/>
  <c r="E109" i="3"/>
  <c r="F109" i="3" s="1"/>
  <c r="E110" i="3"/>
  <c r="F110" i="3" s="1"/>
  <c r="E111" i="3"/>
  <c r="F111" i="3" s="1"/>
  <c r="E112" i="3"/>
  <c r="F112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20" i="3" l="1"/>
  <c r="G72" i="3"/>
  <c r="G73" i="3" s="1"/>
  <c r="G74" i="3"/>
  <c r="E119" i="3"/>
  <c r="E115" i="3"/>
  <c r="E116" i="3" s="1"/>
  <c r="E117" i="3"/>
  <c r="E120" i="4"/>
  <c r="E117" i="4"/>
  <c r="F108" i="4"/>
  <c r="E115" i="4"/>
  <c r="E116" i="4" s="1"/>
  <c r="E119" i="4"/>
  <c r="F119" i="3"/>
  <c r="F125" i="3"/>
  <c r="F120" i="3"/>
  <c r="F117" i="3"/>
  <c r="D125" i="3"/>
  <c r="F115" i="3"/>
  <c r="H74" i="3"/>
  <c r="H72" i="3"/>
  <c r="G74" i="4"/>
  <c r="G72" i="4"/>
  <c r="G73" i="4" s="1"/>
  <c r="H60" i="4"/>
  <c r="H74" i="4" l="1"/>
  <c r="H72" i="4"/>
  <c r="G124" i="3"/>
  <c r="F116" i="3"/>
  <c r="F125" i="4"/>
  <c r="F120" i="4"/>
  <c r="F117" i="4"/>
  <c r="D125" i="4"/>
  <c r="F115" i="4"/>
  <c r="F119" i="4"/>
  <c r="G76" i="3"/>
  <c r="H73" i="3"/>
  <c r="G76" i="4" l="1"/>
  <c r="H73" i="4"/>
  <c r="G124" i="4"/>
  <c r="F116" i="4"/>
</calcChain>
</file>

<file path=xl/sharedStrings.xml><?xml version="1.0" encoding="utf-8"?>
<sst xmlns="http://schemas.openxmlformats.org/spreadsheetml/2006/main" count="406" uniqueCount="138">
  <si>
    <t>HPLC System Suitability Report</t>
  </si>
  <si>
    <t>Analysis Data</t>
  </si>
  <si>
    <t>Assay</t>
  </si>
  <si>
    <t>Sample(s)</t>
  </si>
  <si>
    <t>Reference Substance:</t>
  </si>
  <si>
    <t>LOPINAVIR / RITONAVIR TABLETS 200 MG / 50 MG</t>
  </si>
  <si>
    <t>% age Purity:</t>
  </si>
  <si>
    <t>NDQB201612300r1</t>
  </si>
  <si>
    <t>Weight (mg):</t>
  </si>
  <si>
    <t>Lopinavir USP 200 mg Ritonavir USP 50 mg</t>
  </si>
  <si>
    <t>Standard Conc (mg/mL):</t>
  </si>
  <si>
    <t>Each film coated tablets contains lopinavir USP 200 mg ritonavir USP 50 mg</t>
  </si>
  <si>
    <t>2016-12-15 10:45:55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</si>
  <si>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</si>
  <si>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</si>
  <si>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</si>
  <si>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</si>
  <si>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</si>
  <si>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</si>
  <si>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</si>
  <si>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</si>
  <si>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</si>
  <si>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</si>
  <si>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</si>
  <si>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</si>
  <si>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</si>
  <si>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</si>
  <si>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</si>
  <si>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</si>
  <si>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</si>
  <si>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</si>
  <si>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</si>
  <si>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</si>
  <si>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</si>
  <si>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</si>
  <si>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</si>
  <si>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</si>
  <si>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</si>
  <si>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</si>
  <si>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</si>
  <si>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</si>
  <si>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</si>
  <si>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</si>
  <si>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</si>
  <si>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</si>
  <si>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</si>
  <si>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</si>
  <si>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</si>
  <si>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</si>
  <si>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</si>
  <si>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</si>
  <si>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</si>
  <si>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</si>
  <si>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</si>
  <si>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</si>
  <si>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</si>
  <si>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</si>
  <si>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</si>
  <si>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</si>
  <si>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</si>
  <si>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</si>
  <si>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</si>
  <si>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</si>
  <si>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</si>
  <si>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</si>
  <si>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</si>
  <si>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</si>
  <si>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</si>
  <si>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</si>
  <si>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</si>
  <si>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</si>
  <si>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</si>
  <si>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</si>
  <si>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</si>
  <si>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</si>
  <si>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</si>
  <si>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</si>
  <si>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</si>
  <si>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</si>
  <si>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</si>
  <si>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</si>
  <si>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</si>
  <si>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</si>
  <si>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</si>
  <si>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</si>
  <si>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</si>
  <si>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</si>
  <si>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</si>
  <si>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</si>
  <si>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</si>
  <si>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</si>
  <si>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</si>
  <si>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</si>
  <si>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</si>
  <si>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</si>
  <si>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</si>
  <si>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</si>
  <si>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</si>
  <si>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</si>
  <si>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</si>
  <si>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</si>
  <si>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</si>
  <si>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</si>
  <si>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</si>
  <si>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</si>
  <si>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</si>
  <si>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</si>
  <si>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</si>
  <si>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</si>
  <si>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</si>
  <si>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</si>
  <si>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</si>
  <si>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</si>
  <si>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</si>
  <si>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</si>
  <si>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</si>
  <si>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</si>
  <si>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</si>
  <si>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</si>
  <si>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</si>
  <si>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</si>
  <si>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</si>
  <si>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</si>
  <si>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</si>
  <si>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</si>
  <si>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</si>
  <si>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</si>
  <si>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</si>
  <si>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</si>
  <si>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</si>
  <si>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LOPINAVIR/ RITONAVIR 200 MG/50 MG TABLETS</t>
  </si>
  <si>
    <t>LOPINAVIR</t>
  </si>
  <si>
    <t>RITONAVIR</t>
  </si>
  <si>
    <t>L20 2</t>
  </si>
  <si>
    <t>Lopinavir USP 200 mg</t>
  </si>
  <si>
    <t>R14 2</t>
  </si>
  <si>
    <t xml:space="preserve"> Ritonavir USP 50 mg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</si>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</sst>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2" t="s">
        <v>30</v>
      </c>
      <c r="B11" s="473"/>
      <c r="C11" s="473"/>
      <c r="D11" s="473"/>
      <c r="E11" s="473"/>
      <c r="F11" s="474"/>
      <c r="G11" s="43"/>
    </row>
    <row r="12" spans="1:7" ht="16.5" customHeight="1" x14ac:dyDescent="0.3">
      <c r="A12" s="471" t="s">
        <v>31</v>
      </c>
      <c r="B12" s="471"/>
      <c r="C12" s="471"/>
      <c r="D12" s="471"/>
      <c r="E12" s="471"/>
      <c r="F12" s="471"/>
      <c r="G12" s="42"/>
    </row>
    <row r="14" spans="1:7" ht="16.5" customHeight="1" x14ac:dyDescent="0.3">
      <c r="A14" s="476" t="s">
        <v>32</v>
      </c>
      <c r="B14" s="476"/>
      <c r="C14" s="12" t="s">
        <v>5</v>
      </c>
    </row>
    <row r="15" spans="1:7" ht="16.5" customHeight="1" x14ac:dyDescent="0.3">
      <c r="A15" s="476" t="s">
        <v>33</v>
      </c>
      <c r="B15" s="476"/>
      <c r="C15" s="12" t="s">
        <v>7</v>
      </c>
    </row>
    <row r="16" spans="1:7" ht="16.5" customHeight="1" x14ac:dyDescent="0.3">
      <c r="A16" s="476" t="s">
        <v>34</v>
      </c>
      <c r="B16" s="476"/>
      <c r="C16" s="12" t="s">
        <v>9</v>
      </c>
    </row>
    <row r="17" spans="1:5" ht="16.5" customHeight="1" x14ac:dyDescent="0.3">
      <c r="A17" s="476" t="s">
        <v>35</v>
      </c>
      <c r="B17" s="476"/>
      <c r="C17" s="12" t="s">
        <v>11</v>
      </c>
    </row>
    <row r="18" spans="1:5" ht="16.5" customHeight="1" x14ac:dyDescent="0.3">
      <c r="A18" s="476" t="s">
        <v>36</v>
      </c>
      <c r="B18" s="476"/>
      <c r="C18" s="49" t="s">
        <v>12</v>
      </c>
    </row>
    <row r="19" spans="1:5" ht="16.5" customHeight="1" x14ac:dyDescent="0.3">
      <c r="A19" s="476" t="s">
        <v>37</v>
      </c>
      <c r="B19" s="47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1" t="s">
        <v>1</v>
      </c>
      <c r="B21" s="471"/>
      <c r="C21" s="11" t="s">
        <v>38</v>
      </c>
      <c r="D21" s="18"/>
    </row>
    <row r="22" spans="1:5" ht="15.75" customHeight="1" x14ac:dyDescent="0.3">
      <c r="A22" s="475"/>
      <c r="B22" s="475"/>
      <c r="C22" s="9"/>
      <c r="D22" s="475"/>
      <c r="E22" s="475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1259.0999999999999</v>
      </c>
      <c r="D24" s="39">
        <f t="shared" ref="D24:D43" si="0">(C24-$C$46)/$C$46</f>
        <v>1.6853867777686564E-3</v>
      </c>
      <c r="E24" s="5"/>
    </row>
    <row r="25" spans="1:5" ht="15.75" customHeight="1" x14ac:dyDescent="0.3">
      <c r="C25" s="47">
        <v>1266.74</v>
      </c>
      <c r="D25" s="40">
        <f t="shared" si="0"/>
        <v>7.7634396369396941E-3</v>
      </c>
      <c r="E25" s="5"/>
    </row>
    <row r="26" spans="1:5" ht="15.75" customHeight="1" x14ac:dyDescent="0.3">
      <c r="C26" s="47">
        <v>1242.0899999999999</v>
      </c>
      <c r="D26" s="40">
        <f t="shared" si="0"/>
        <v>-1.1847031957113273E-2</v>
      </c>
      <c r="E26" s="5"/>
    </row>
    <row r="27" spans="1:5" ht="15.75" customHeight="1" x14ac:dyDescent="0.3">
      <c r="C27" s="47">
        <v>1241.6300000000001</v>
      </c>
      <c r="D27" s="40">
        <f t="shared" si="0"/>
        <v>-1.2212988019314513E-2</v>
      </c>
      <c r="E27" s="5"/>
    </row>
    <row r="28" spans="1:5" ht="15.75" customHeight="1" x14ac:dyDescent="0.3">
      <c r="C28" s="47">
        <v>1270.97</v>
      </c>
      <c r="D28" s="40">
        <f t="shared" si="0"/>
        <v>1.1128644295878603E-2</v>
      </c>
      <c r="E28" s="5"/>
    </row>
    <row r="29" spans="1:5" ht="15.75" customHeight="1" x14ac:dyDescent="0.3">
      <c r="C29" s="47">
        <v>1248.96</v>
      </c>
      <c r="D29" s="40">
        <f t="shared" si="0"/>
        <v>-6.3815577238010741E-3</v>
      </c>
      <c r="E29" s="5"/>
    </row>
    <row r="30" spans="1:5" ht="15.75" customHeight="1" x14ac:dyDescent="0.3">
      <c r="C30" s="47">
        <v>1261.02</v>
      </c>
      <c r="D30" s="40">
        <f t="shared" si="0"/>
        <v>3.2128555591310493E-3</v>
      </c>
      <c r="E30" s="5"/>
    </row>
    <row r="31" spans="1:5" ht="15.75" customHeight="1" x14ac:dyDescent="0.3">
      <c r="C31" s="47">
        <v>1248.07</v>
      </c>
      <c r="D31" s="40">
        <f t="shared" si="0"/>
        <v>-7.0896031484951527E-3</v>
      </c>
      <c r="E31" s="5"/>
    </row>
    <row r="32" spans="1:5" ht="15.75" customHeight="1" x14ac:dyDescent="0.3">
      <c r="C32" s="47">
        <v>1263.8499999999999</v>
      </c>
      <c r="D32" s="40">
        <f t="shared" si="0"/>
        <v>5.4642808983265167E-3</v>
      </c>
      <c r="E32" s="5"/>
    </row>
    <row r="33" spans="1:7" ht="15.75" customHeight="1" x14ac:dyDescent="0.3">
      <c r="C33" s="47">
        <v>1255.8599999999999</v>
      </c>
      <c r="D33" s="40">
        <f t="shared" si="0"/>
        <v>-8.92216790780291E-4</v>
      </c>
      <c r="E33" s="5"/>
    </row>
    <row r="34" spans="1:7" ht="15.75" customHeight="1" x14ac:dyDescent="0.3">
      <c r="C34" s="47">
        <v>1264.33</v>
      </c>
      <c r="D34" s="40">
        <f t="shared" si="0"/>
        <v>5.8461480936671147E-3</v>
      </c>
      <c r="E34" s="5"/>
    </row>
    <row r="35" spans="1:7" ht="15.75" customHeight="1" x14ac:dyDescent="0.3">
      <c r="C35" s="47">
        <v>1260.95</v>
      </c>
      <c r="D35" s="40">
        <f t="shared" si="0"/>
        <v>3.1571665931439314E-3</v>
      </c>
      <c r="E35" s="5"/>
    </row>
    <row r="36" spans="1:7" ht="15.75" customHeight="1" x14ac:dyDescent="0.3">
      <c r="C36" s="47">
        <v>1253.32</v>
      </c>
      <c r="D36" s="40">
        <f t="shared" si="0"/>
        <v>-2.9129306994575177E-3</v>
      </c>
      <c r="E36" s="5"/>
    </row>
    <row r="37" spans="1:7" ht="15.75" customHeight="1" x14ac:dyDescent="0.3">
      <c r="C37" s="47">
        <v>1258.43</v>
      </c>
      <c r="D37" s="40">
        <f t="shared" si="0"/>
        <v>1.1523638176058814E-3</v>
      </c>
      <c r="E37" s="5"/>
    </row>
    <row r="38" spans="1:7" ht="15.75" customHeight="1" x14ac:dyDescent="0.3">
      <c r="C38" s="47">
        <v>1261.45</v>
      </c>
      <c r="D38" s="40">
        <f t="shared" si="0"/>
        <v>3.5549449216237062E-3</v>
      </c>
      <c r="E38" s="5"/>
    </row>
    <row r="39" spans="1:7" ht="15.75" customHeight="1" x14ac:dyDescent="0.3">
      <c r="C39" s="47">
        <v>1276.57</v>
      </c>
      <c r="D39" s="40">
        <f t="shared" si="0"/>
        <v>1.5583761574852008E-2</v>
      </c>
      <c r="E39" s="5"/>
    </row>
    <row r="40" spans="1:7" ht="15.75" customHeight="1" x14ac:dyDescent="0.3">
      <c r="C40" s="47">
        <v>1242.04</v>
      </c>
      <c r="D40" s="40">
        <f t="shared" si="0"/>
        <v>-1.1886809789961214E-2</v>
      </c>
      <c r="E40" s="5"/>
    </row>
    <row r="41" spans="1:7" ht="15.75" customHeight="1" x14ac:dyDescent="0.3">
      <c r="C41" s="47">
        <v>1269.9000000000001</v>
      </c>
      <c r="D41" s="40">
        <f t="shared" si="0"/>
        <v>1.0277398672931936E-2</v>
      </c>
      <c r="E41" s="5"/>
    </row>
    <row r="42" spans="1:7" ht="15.75" customHeight="1" x14ac:dyDescent="0.3">
      <c r="C42" s="47">
        <v>1250.44</v>
      </c>
      <c r="D42" s="40">
        <f t="shared" si="0"/>
        <v>-5.2041338715009258E-3</v>
      </c>
      <c r="E42" s="5"/>
    </row>
    <row r="43" spans="1:7" ht="16.5" customHeight="1" x14ac:dyDescent="0.3">
      <c r="C43" s="48">
        <v>1243.9100000000001</v>
      </c>
      <c r="D43" s="41">
        <f t="shared" si="0"/>
        <v>-1.0399118841446762E-2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25139.63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1256.9815000000001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69">
        <f>C46</f>
        <v>1256.9815000000001</v>
      </c>
      <c r="C49" s="45">
        <f>-IF(C46&lt;=80,10%,IF(C46&lt;250,7.5%,5%))</f>
        <v>-0.05</v>
      </c>
      <c r="D49" s="33">
        <f>IF(C46&lt;=80,C46*0.9,IF(C46&lt;250,C46*0.925,C46*0.95))</f>
        <v>1194.132425</v>
      </c>
    </row>
    <row r="50" spans="1:6" ht="17.25" customHeight="1" x14ac:dyDescent="0.3">
      <c r="B50" s="470"/>
      <c r="C50" s="46">
        <f>IF(C46&lt;=80, 10%, IF(C46&lt;250, 7.5%, 5%))</f>
        <v>0.05</v>
      </c>
      <c r="D50" s="33">
        <f>IF(C46&lt;=80, C46*1.1, IF(C46&lt;250, C46*1.075, C46*1.05))</f>
        <v>1319.8305750000002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G46" sqref="G46"/>
    </sheetView>
  </sheetViews>
  <sheetFormatPr defaultRowHeight="13.5" x14ac:dyDescent="0.25"/>
  <cols>
    <col min="1" max="1" width="27.5703125" style="424" customWidth="1"/>
    <col min="2" max="2" width="20.42578125" style="424" customWidth="1"/>
    <col min="3" max="3" width="31.85546875" style="424" customWidth="1"/>
    <col min="4" max="4" width="25.85546875" style="424" customWidth="1"/>
    <col min="5" max="5" width="25.7109375" style="424" customWidth="1"/>
    <col min="6" max="6" width="23.140625" style="424" customWidth="1"/>
    <col min="7" max="7" width="28.42578125" style="424" customWidth="1"/>
    <col min="8" max="8" width="21.5703125" style="424" customWidth="1"/>
    <col min="9" max="9" width="9.140625" style="424" customWidth="1"/>
    <col min="10" max="16384" width="9.140625" style="460"/>
  </cols>
  <sheetData>
    <row r="14" spans="1:6" ht="15" customHeight="1" x14ac:dyDescent="0.3">
      <c r="A14" s="423"/>
      <c r="C14" s="425"/>
      <c r="F14" s="425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426" t="s">
        <v>1</v>
      </c>
      <c r="B16" s="427" t="s">
        <v>2</v>
      </c>
    </row>
    <row r="17" spans="1:5" ht="16.5" customHeight="1" x14ac:dyDescent="0.3">
      <c r="A17" s="428" t="s">
        <v>3</v>
      </c>
      <c r="B17" s="428" t="s">
        <v>130</v>
      </c>
      <c r="D17" s="429"/>
      <c r="E17" s="430"/>
    </row>
    <row r="18" spans="1:5" ht="16.5" customHeight="1" x14ac:dyDescent="0.3">
      <c r="A18" s="431" t="s">
        <v>4</v>
      </c>
      <c r="B18" s="424" t="s">
        <v>131</v>
      </c>
      <c r="C18" s="430"/>
      <c r="D18" s="430"/>
      <c r="E18" s="430"/>
    </row>
    <row r="19" spans="1:5" ht="16.5" customHeight="1" x14ac:dyDescent="0.3">
      <c r="A19" s="431" t="s">
        <v>6</v>
      </c>
      <c r="B19" s="432">
        <v>99.8</v>
      </c>
      <c r="C19" s="430"/>
      <c r="D19" s="430"/>
      <c r="E19" s="430"/>
    </row>
    <row r="20" spans="1:5" ht="16.5" customHeight="1" x14ac:dyDescent="0.3">
      <c r="A20" s="428" t="s">
        <v>8</v>
      </c>
      <c r="B20" s="432">
        <v>18.02</v>
      </c>
      <c r="C20" s="430"/>
      <c r="D20" s="430"/>
      <c r="E20" s="430"/>
    </row>
    <row r="21" spans="1:5" ht="16.5" customHeight="1" x14ac:dyDescent="0.3">
      <c r="A21" s="428" t="s">
        <v>10</v>
      </c>
      <c r="B21" s="433">
        <f>B20/20</f>
        <v>0.90100000000000002</v>
      </c>
      <c r="C21" s="430"/>
      <c r="D21" s="430"/>
      <c r="E21" s="430"/>
    </row>
    <row r="22" spans="1:5" ht="15.75" customHeight="1" x14ac:dyDescent="0.25">
      <c r="A22" s="430"/>
      <c r="B22" s="430"/>
      <c r="C22" s="430"/>
      <c r="D22" s="430"/>
      <c r="E22" s="430"/>
    </row>
    <row r="23" spans="1:5" ht="16.5" customHeight="1" x14ac:dyDescent="0.3">
      <c r="A23" s="434" t="s">
        <v>13</v>
      </c>
      <c r="B23" s="435" t="s">
        <v>14</v>
      </c>
      <c r="C23" s="434" t="s">
        <v>15</v>
      </c>
      <c r="D23" s="434" t="s">
        <v>16</v>
      </c>
      <c r="E23" s="434" t="s">
        <v>17</v>
      </c>
    </row>
    <row r="24" spans="1:5" ht="16.5" customHeight="1" x14ac:dyDescent="0.3">
      <c r="A24" s="436">
        <v>1</v>
      </c>
      <c r="B24" s="437">
        <v>53706861</v>
      </c>
      <c r="C24" s="437">
        <v>3728.77</v>
      </c>
      <c r="D24" s="438">
        <v>0.85</v>
      </c>
      <c r="E24" s="439">
        <v>5.57</v>
      </c>
    </row>
    <row r="25" spans="1:5" ht="16.5" customHeight="1" x14ac:dyDescent="0.3">
      <c r="A25" s="436">
        <v>2</v>
      </c>
      <c r="B25" s="437">
        <v>53910884</v>
      </c>
      <c r="C25" s="437">
        <v>3712.96</v>
      </c>
      <c r="D25" s="438">
        <v>0.84</v>
      </c>
      <c r="E25" s="438">
        <v>5.58</v>
      </c>
    </row>
    <row r="26" spans="1:5" ht="16.5" customHeight="1" x14ac:dyDescent="0.3">
      <c r="A26" s="436">
        <v>3</v>
      </c>
      <c r="B26" s="437">
        <v>53911233</v>
      </c>
      <c r="C26" s="437">
        <v>3680.94</v>
      </c>
      <c r="D26" s="438">
        <v>0.85</v>
      </c>
      <c r="E26" s="438">
        <v>5.58</v>
      </c>
    </row>
    <row r="27" spans="1:5" ht="16.5" customHeight="1" x14ac:dyDescent="0.3">
      <c r="A27" s="436">
        <v>4</v>
      </c>
      <c r="B27" s="437">
        <v>53921585</v>
      </c>
      <c r="C27" s="437">
        <v>3687.73</v>
      </c>
      <c r="D27" s="438">
        <v>0.84</v>
      </c>
      <c r="E27" s="438">
        <v>5.58</v>
      </c>
    </row>
    <row r="28" spans="1:5" ht="16.5" customHeight="1" x14ac:dyDescent="0.3">
      <c r="A28" s="436">
        <v>5</v>
      </c>
      <c r="B28" s="437">
        <v>53913907</v>
      </c>
      <c r="C28" s="437">
        <v>3702.09</v>
      </c>
      <c r="D28" s="438">
        <v>0.84</v>
      </c>
      <c r="E28" s="438">
        <v>5.58</v>
      </c>
    </row>
    <row r="29" spans="1:5" ht="16.5" customHeight="1" x14ac:dyDescent="0.3">
      <c r="A29" s="436">
        <v>6</v>
      </c>
      <c r="B29" s="440">
        <v>53848158</v>
      </c>
      <c r="C29" s="440">
        <v>3718.53</v>
      </c>
      <c r="D29" s="441">
        <v>0.85</v>
      </c>
      <c r="E29" s="441">
        <v>5.58</v>
      </c>
    </row>
    <row r="30" spans="1:5" ht="16.5" customHeight="1" x14ac:dyDescent="0.3">
      <c r="A30" s="442" t="s">
        <v>18</v>
      </c>
      <c r="B30" s="443">
        <f>AVERAGE(B24:B29)</f>
        <v>53868771.333333336</v>
      </c>
      <c r="C30" s="444">
        <f>AVERAGE(C24:C29)</f>
        <v>3705.1699999999996</v>
      </c>
      <c r="D30" s="445">
        <f>AVERAGE(D24:D29)</f>
        <v>0.84499999999999986</v>
      </c>
      <c r="E30" s="445">
        <f>AVERAGE(E24:E29)</f>
        <v>5.5783333333333331</v>
      </c>
    </row>
    <row r="31" spans="1:5" ht="16.5" customHeight="1" x14ac:dyDescent="0.3">
      <c r="A31" s="446" t="s">
        <v>19</v>
      </c>
      <c r="B31" s="447">
        <f>(STDEV(B24:B29)/B30)</f>
        <v>1.554095203672127E-3</v>
      </c>
      <c r="C31" s="448"/>
      <c r="D31" s="448"/>
      <c r="E31" s="449"/>
    </row>
    <row r="32" spans="1:5" s="424" customFormat="1" ht="16.5" customHeight="1" x14ac:dyDescent="0.3">
      <c r="A32" s="450" t="s">
        <v>20</v>
      </c>
      <c r="B32" s="451">
        <f>COUNT(B24:B29)</f>
        <v>6</v>
      </c>
      <c r="C32" s="452"/>
      <c r="D32" s="453"/>
      <c r="E32" s="454"/>
    </row>
    <row r="33" spans="1:5" s="424" customFormat="1" ht="15.75" customHeight="1" x14ac:dyDescent="0.25">
      <c r="A33" s="430"/>
      <c r="B33" s="430"/>
      <c r="C33" s="430"/>
      <c r="D33" s="430"/>
      <c r="E33" s="430"/>
    </row>
    <row r="34" spans="1:5" s="424" customFormat="1" ht="16.5" customHeight="1" x14ac:dyDescent="0.3">
      <c r="A34" s="431" t="s">
        <v>21</v>
      </c>
      <c r="B34" s="455" t="s">
        <v>22</v>
      </c>
      <c r="C34" s="456"/>
      <c r="D34" s="456"/>
      <c r="E34" s="456"/>
    </row>
    <row r="35" spans="1:5" ht="16.5" customHeight="1" x14ac:dyDescent="0.3">
      <c r="A35" s="431"/>
      <c r="B35" s="455" t="s">
        <v>23</v>
      </c>
      <c r="C35" s="456"/>
      <c r="D35" s="456"/>
      <c r="E35" s="456"/>
    </row>
    <row r="36" spans="1:5" ht="16.5" customHeight="1" x14ac:dyDescent="0.3">
      <c r="A36" s="431"/>
      <c r="B36" s="455" t="s">
        <v>24</v>
      </c>
      <c r="C36" s="456"/>
      <c r="D36" s="456"/>
      <c r="E36" s="456"/>
    </row>
    <row r="37" spans="1:5" ht="15.75" customHeight="1" x14ac:dyDescent="0.25">
      <c r="A37" s="430"/>
      <c r="B37" s="430"/>
      <c r="C37" s="430"/>
      <c r="D37" s="430"/>
      <c r="E37" s="430"/>
    </row>
    <row r="38" spans="1:5" ht="16.5" customHeight="1" x14ac:dyDescent="0.3">
      <c r="A38" s="426" t="s">
        <v>1</v>
      </c>
      <c r="B38" s="427"/>
    </row>
    <row r="39" spans="1:5" ht="16.5" customHeight="1" x14ac:dyDescent="0.3">
      <c r="A39" s="431" t="s">
        <v>4</v>
      </c>
      <c r="B39" s="428" t="s">
        <v>132</v>
      </c>
      <c r="C39" s="430"/>
      <c r="D39" s="430"/>
      <c r="E39" s="430"/>
    </row>
    <row r="40" spans="1:5" ht="16.5" customHeight="1" x14ac:dyDescent="0.3">
      <c r="A40" s="431" t="s">
        <v>6</v>
      </c>
      <c r="B40" s="432">
        <v>99.4</v>
      </c>
      <c r="C40" s="430"/>
      <c r="D40" s="430"/>
      <c r="E40" s="430"/>
    </row>
    <row r="41" spans="1:5" ht="16.5" customHeight="1" x14ac:dyDescent="0.3">
      <c r="A41" s="428" t="s">
        <v>8</v>
      </c>
      <c r="B41" s="432">
        <v>11.16</v>
      </c>
      <c r="C41" s="430"/>
      <c r="D41" s="430"/>
      <c r="E41" s="430"/>
    </row>
    <row r="42" spans="1:5" ht="16.5" customHeight="1" x14ac:dyDescent="0.3">
      <c r="A42" s="428" t="s">
        <v>10</v>
      </c>
      <c r="B42" s="433">
        <f>B41/25*10/20</f>
        <v>0.22320000000000001</v>
      </c>
      <c r="C42" s="430"/>
      <c r="D42" s="430"/>
      <c r="E42" s="430"/>
    </row>
    <row r="43" spans="1:5" ht="15.75" customHeight="1" x14ac:dyDescent="0.25">
      <c r="A43" s="430"/>
      <c r="B43" s="430"/>
      <c r="C43" s="430"/>
      <c r="D43" s="430"/>
      <c r="E43" s="430"/>
    </row>
    <row r="44" spans="1:5" ht="16.5" customHeight="1" x14ac:dyDescent="0.3">
      <c r="A44" s="434" t="s">
        <v>13</v>
      </c>
      <c r="B44" s="435" t="s">
        <v>14</v>
      </c>
      <c r="C44" s="434" t="s">
        <v>15</v>
      </c>
      <c r="D44" s="434" t="s">
        <v>16</v>
      </c>
      <c r="E44" s="434" t="s">
        <v>17</v>
      </c>
    </row>
    <row r="45" spans="1:5" ht="16.5" customHeight="1" x14ac:dyDescent="0.3">
      <c r="A45" s="436">
        <v>1</v>
      </c>
      <c r="B45" s="437">
        <v>12884223</v>
      </c>
      <c r="C45" s="437">
        <v>5225.71</v>
      </c>
      <c r="D45" s="438">
        <v>0.95</v>
      </c>
      <c r="E45" s="439">
        <v>7.41</v>
      </c>
    </row>
    <row r="46" spans="1:5" ht="16.5" customHeight="1" x14ac:dyDescent="0.3">
      <c r="A46" s="436">
        <v>2</v>
      </c>
      <c r="B46" s="437">
        <v>12919354</v>
      </c>
      <c r="C46" s="437">
        <v>5215.75</v>
      </c>
      <c r="D46" s="438">
        <v>0.94</v>
      </c>
      <c r="E46" s="438">
        <v>7.42</v>
      </c>
    </row>
    <row r="47" spans="1:5" ht="16.5" customHeight="1" x14ac:dyDescent="0.3">
      <c r="A47" s="436">
        <v>3</v>
      </c>
      <c r="B47" s="437">
        <v>12906755</v>
      </c>
      <c r="C47" s="437">
        <v>5234.66</v>
      </c>
      <c r="D47" s="438">
        <v>0.95</v>
      </c>
      <c r="E47" s="438">
        <v>7.41</v>
      </c>
    </row>
    <row r="48" spans="1:5" ht="16.5" customHeight="1" x14ac:dyDescent="0.3">
      <c r="A48" s="436">
        <v>4</v>
      </c>
      <c r="B48" s="437">
        <v>12908685</v>
      </c>
      <c r="C48" s="437">
        <v>5245.42</v>
      </c>
      <c r="D48" s="438">
        <v>0.94</v>
      </c>
      <c r="E48" s="438">
        <v>7.41</v>
      </c>
    </row>
    <row r="49" spans="1:7" ht="16.5" customHeight="1" x14ac:dyDescent="0.3">
      <c r="A49" s="436">
        <v>5</v>
      </c>
      <c r="B49" s="437">
        <v>12886016</v>
      </c>
      <c r="C49" s="437">
        <v>5257.3</v>
      </c>
      <c r="D49" s="438">
        <v>0.94</v>
      </c>
      <c r="E49" s="438">
        <v>7.42</v>
      </c>
    </row>
    <row r="50" spans="1:7" ht="16.5" customHeight="1" x14ac:dyDescent="0.3">
      <c r="A50" s="436">
        <v>6</v>
      </c>
      <c r="B50" s="440">
        <v>12893026</v>
      </c>
      <c r="C50" s="440">
        <v>5264.49</v>
      </c>
      <c r="D50" s="441">
        <v>0.94</v>
      </c>
      <c r="E50" s="441">
        <v>7.41</v>
      </c>
    </row>
    <row r="51" spans="1:7" ht="16.5" customHeight="1" x14ac:dyDescent="0.3">
      <c r="A51" s="442" t="s">
        <v>18</v>
      </c>
      <c r="B51" s="443">
        <f>AVERAGE(B45:B50)</f>
        <v>12899676.5</v>
      </c>
      <c r="C51" s="444">
        <f>AVERAGE(C45:C50)</f>
        <v>5240.5550000000003</v>
      </c>
      <c r="D51" s="445">
        <f>AVERAGE(D45:D50)</f>
        <v>0.94333333333333336</v>
      </c>
      <c r="E51" s="445">
        <f>AVERAGE(E45:E50)</f>
        <v>7.413333333333334</v>
      </c>
    </row>
    <row r="52" spans="1:7" ht="16.5" customHeight="1" x14ac:dyDescent="0.3">
      <c r="A52" s="446" t="s">
        <v>19</v>
      </c>
      <c r="B52" s="447">
        <f>(STDEV(B45:B50)/B51)</f>
        <v>1.0897807058350294E-3</v>
      </c>
      <c r="C52" s="448"/>
      <c r="D52" s="448"/>
      <c r="E52" s="449"/>
    </row>
    <row r="53" spans="1:7" s="424" customFormat="1" ht="16.5" customHeight="1" x14ac:dyDescent="0.3">
      <c r="A53" s="450" t="s">
        <v>20</v>
      </c>
      <c r="B53" s="451">
        <f>COUNT(B45:B50)</f>
        <v>6</v>
      </c>
      <c r="C53" s="452"/>
      <c r="D53" s="453"/>
      <c r="E53" s="454"/>
    </row>
    <row r="54" spans="1:7" s="424" customFormat="1" ht="15.75" customHeight="1" x14ac:dyDescent="0.25">
      <c r="A54" s="430"/>
      <c r="B54" s="430"/>
      <c r="C54" s="430"/>
      <c r="D54" s="430"/>
      <c r="E54" s="430"/>
    </row>
    <row r="55" spans="1:7" s="424" customFormat="1" ht="16.5" customHeight="1" x14ac:dyDescent="0.3">
      <c r="A55" s="431" t="s">
        <v>21</v>
      </c>
      <c r="B55" s="455" t="s">
        <v>22</v>
      </c>
      <c r="C55" s="456"/>
      <c r="D55" s="456"/>
      <c r="E55" s="456"/>
    </row>
    <row r="56" spans="1:7" ht="16.5" customHeight="1" x14ac:dyDescent="0.3">
      <c r="A56" s="431"/>
      <c r="B56" s="455" t="s">
        <v>23</v>
      </c>
      <c r="C56" s="456"/>
      <c r="D56" s="456"/>
      <c r="E56" s="456"/>
    </row>
    <row r="57" spans="1:7" ht="16.5" customHeight="1" x14ac:dyDescent="0.3">
      <c r="A57" s="431"/>
      <c r="B57" s="455" t="s">
        <v>24</v>
      </c>
      <c r="C57" s="456"/>
      <c r="D57" s="456"/>
      <c r="E57" s="456"/>
    </row>
    <row r="58" spans="1:7" ht="14.25" customHeight="1" thickBot="1" x14ac:dyDescent="0.3">
      <c r="A58" s="457"/>
      <c r="B58" s="458"/>
      <c r="D58" s="459"/>
      <c r="F58" s="460"/>
      <c r="G58" s="460"/>
    </row>
    <row r="59" spans="1:7" ht="15" customHeight="1" x14ac:dyDescent="0.3">
      <c r="B59" s="468" t="s">
        <v>25</v>
      </c>
      <c r="C59" s="468"/>
      <c r="E59" s="461" t="s">
        <v>26</v>
      </c>
      <c r="F59" s="462"/>
      <c r="G59" s="461" t="s">
        <v>27</v>
      </c>
    </row>
    <row r="60" spans="1:7" ht="15" customHeight="1" x14ac:dyDescent="0.3">
      <c r="A60" s="463" t="s">
        <v>28</v>
      </c>
      <c r="B60" s="464"/>
      <c r="C60" s="464"/>
      <c r="E60" s="464"/>
      <c r="G60" s="464"/>
    </row>
    <row r="61" spans="1:7" ht="15" customHeight="1" x14ac:dyDescent="0.3">
      <c r="A61" s="463" t="s">
        <v>29</v>
      </c>
      <c r="B61" s="465"/>
      <c r="C61" s="465"/>
      <c r="E61" s="465"/>
      <c r="G61" s="4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2" zoomScale="50" zoomScaleNormal="40" zoomScaleSheetLayoutView="50" zoomScalePageLayoutView="55" workbookViewId="0">
      <selection activeCell="F64" sqref="F6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7" t="s">
        <v>44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45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50"/>
    </row>
    <row r="16" spans="1:9" ht="19.5" customHeight="1" x14ac:dyDescent="0.3">
      <c r="A16" s="480" t="s">
        <v>30</v>
      </c>
      <c r="B16" s="481"/>
      <c r="C16" s="481"/>
      <c r="D16" s="481"/>
      <c r="E16" s="481"/>
      <c r="F16" s="481"/>
      <c r="G16" s="481"/>
      <c r="H16" s="482"/>
    </row>
    <row r="17" spans="1:14" ht="20.25" customHeight="1" x14ac:dyDescent="0.25">
      <c r="A17" s="483" t="s">
        <v>46</v>
      </c>
      <c r="B17" s="483"/>
      <c r="C17" s="483"/>
      <c r="D17" s="483"/>
      <c r="E17" s="483"/>
      <c r="F17" s="483"/>
      <c r="G17" s="483"/>
      <c r="H17" s="483"/>
    </row>
    <row r="18" spans="1:14" ht="26.25" customHeight="1" x14ac:dyDescent="0.4">
      <c r="A18" s="52" t="s">
        <v>32</v>
      </c>
      <c r="B18" s="479" t="s">
        <v>5</v>
      </c>
      <c r="C18" s="479"/>
      <c r="D18" s="197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84" t="s">
        <v>134</v>
      </c>
      <c r="C20" s="484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84" t="s">
        <v>11</v>
      </c>
      <c r="C21" s="484"/>
      <c r="D21" s="484"/>
      <c r="E21" s="484"/>
      <c r="F21" s="484"/>
      <c r="G21" s="484"/>
      <c r="H21" s="484"/>
      <c r="I21" s="56"/>
    </row>
    <row r="22" spans="1:14" ht="26.25" customHeight="1" x14ac:dyDescent="0.4">
      <c r="A22" s="52" t="s">
        <v>36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9" t="s">
        <v>131</v>
      </c>
      <c r="C26" s="479"/>
    </row>
    <row r="27" spans="1:14" ht="26.25" customHeight="1" x14ac:dyDescent="0.4">
      <c r="A27" s="61" t="s">
        <v>47</v>
      </c>
      <c r="B27" s="485" t="s">
        <v>133</v>
      </c>
      <c r="C27" s="485"/>
    </row>
    <row r="28" spans="1:14" ht="27" customHeight="1" x14ac:dyDescent="0.4">
      <c r="A28" s="61" t="s">
        <v>6</v>
      </c>
      <c r="B28" s="62">
        <v>99.8</v>
      </c>
    </row>
    <row r="29" spans="1:14" s="3" customFormat="1" ht="27" customHeight="1" x14ac:dyDescent="0.4">
      <c r="A29" s="61" t="s">
        <v>48</v>
      </c>
      <c r="B29" s="63">
        <v>0</v>
      </c>
      <c r="C29" s="486" t="s">
        <v>49</v>
      </c>
      <c r="D29" s="487"/>
      <c r="E29" s="487"/>
      <c r="F29" s="487"/>
      <c r="G29" s="488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89" t="s">
        <v>52</v>
      </c>
      <c r="D31" s="490"/>
      <c r="E31" s="490"/>
      <c r="F31" s="490"/>
      <c r="G31" s="490"/>
      <c r="H31" s="491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89" t="s">
        <v>54</v>
      </c>
      <c r="D32" s="490"/>
      <c r="E32" s="490"/>
      <c r="F32" s="490"/>
      <c r="G32" s="490"/>
      <c r="H32" s="49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92" t="s">
        <v>58</v>
      </c>
      <c r="E36" s="493"/>
      <c r="F36" s="492" t="s">
        <v>59</v>
      </c>
      <c r="G36" s="49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1</v>
      </c>
      <c r="C38" s="83">
        <v>1</v>
      </c>
      <c r="D38" s="270">
        <v>53938581</v>
      </c>
      <c r="E38" s="84">
        <f>IF(ISBLANK(D38),"-",$D$48/$D$45*D38)</f>
        <v>59819230.04836458</v>
      </c>
      <c r="F38" s="270">
        <v>61213478</v>
      </c>
      <c r="G38" s="85">
        <f>IF(ISBLANK(F38),"-",$D$48/$F$45*F38)</f>
        <v>61428292.739710771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7">
        <v>2</v>
      </c>
      <c r="D39" s="275">
        <v>53798934</v>
      </c>
      <c r="E39" s="89">
        <f>IF(ISBLANK(D39),"-",$D$48/$D$45*D39)</f>
        <v>59664358.0464748</v>
      </c>
      <c r="F39" s="275">
        <v>61269212</v>
      </c>
      <c r="G39" s="90">
        <f>IF(ISBLANK(F39),"-",$D$48/$F$45*F39)</f>
        <v>61484222.325472184</v>
      </c>
      <c r="I39" s="496">
        <f>ABS((F43/D43*D42)-F42)/D42</f>
        <v>3.1725212054622864E-2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7">
        <v>3</v>
      </c>
      <c r="D40" s="275">
        <v>53826910</v>
      </c>
      <c r="E40" s="89">
        <f>IF(ISBLANK(D40),"-",$D$48/$D$45*D40)</f>
        <v>59695384.12741366</v>
      </c>
      <c r="F40" s="275">
        <v>61195359</v>
      </c>
      <c r="G40" s="90">
        <f>IF(ISBLANK(F40),"-",$D$48/$F$45*F40)</f>
        <v>61410110.155212782</v>
      </c>
      <c r="I40" s="496"/>
      <c r="L40" s="69"/>
      <c r="M40" s="69"/>
      <c r="N40" s="91"/>
    </row>
    <row r="41" spans="1:14" ht="27" customHeight="1" x14ac:dyDescent="0.4">
      <c r="A41" s="76" t="s">
        <v>68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69</v>
      </c>
      <c r="B42" s="77">
        <v>1</v>
      </c>
      <c r="C42" s="97" t="s">
        <v>70</v>
      </c>
      <c r="D42" s="98">
        <f>AVERAGE(D38:D41)</f>
        <v>53854808.333333336</v>
      </c>
      <c r="E42" s="99">
        <f>AVERAGE(E38:E41)</f>
        <v>59726324.074084342</v>
      </c>
      <c r="F42" s="98">
        <f>AVERAGE(F38:F41)</f>
        <v>61226016.333333336</v>
      </c>
      <c r="G42" s="100">
        <f>AVERAGE(G38:G41)</f>
        <v>61440875.07346525</v>
      </c>
      <c r="H42" s="101"/>
    </row>
    <row r="43" spans="1:14" ht="26.25" customHeight="1" x14ac:dyDescent="0.4">
      <c r="A43" s="76" t="s">
        <v>71</v>
      </c>
      <c r="B43" s="77">
        <v>1</v>
      </c>
      <c r="C43" s="102" t="s">
        <v>72</v>
      </c>
      <c r="D43" s="103">
        <v>18.07</v>
      </c>
      <c r="E43" s="91"/>
      <c r="F43" s="103">
        <v>19.97</v>
      </c>
      <c r="H43" s="101"/>
    </row>
    <row r="44" spans="1:14" ht="26.25" customHeight="1" x14ac:dyDescent="0.4">
      <c r="A44" s="76" t="s">
        <v>73</v>
      </c>
      <c r="B44" s="77">
        <v>1</v>
      </c>
      <c r="C44" s="104" t="s">
        <v>74</v>
      </c>
      <c r="D44" s="105">
        <f>D43*$B$34</f>
        <v>18.07</v>
      </c>
      <c r="E44" s="106"/>
      <c r="F44" s="105">
        <f>F43*$B$34</f>
        <v>19.97</v>
      </c>
      <c r="H44" s="101"/>
    </row>
    <row r="45" spans="1:14" ht="19.5" customHeight="1" x14ac:dyDescent="0.3">
      <c r="A45" s="76" t="s">
        <v>75</v>
      </c>
      <c r="B45" s="107">
        <f>(B44/B43)*(B42/B41)*(B40/B39)*(B38/B37)*B36</f>
        <v>20</v>
      </c>
      <c r="C45" s="104" t="s">
        <v>76</v>
      </c>
      <c r="D45" s="108">
        <f>D44*$B$30/100</f>
        <v>18.033860000000001</v>
      </c>
      <c r="E45" s="109"/>
      <c r="F45" s="108">
        <f>F44*$B$30/100</f>
        <v>19.930059999999997</v>
      </c>
      <c r="H45" s="101"/>
    </row>
    <row r="46" spans="1:14" ht="19.5" customHeight="1" x14ac:dyDescent="0.3">
      <c r="A46" s="497" t="s">
        <v>77</v>
      </c>
      <c r="B46" s="498"/>
      <c r="C46" s="104" t="s">
        <v>78</v>
      </c>
      <c r="D46" s="110">
        <f>D45/$B$45</f>
        <v>0.90169300000000008</v>
      </c>
      <c r="E46" s="111"/>
      <c r="F46" s="112">
        <f>F45/$B$45</f>
        <v>0.99650299999999992</v>
      </c>
      <c r="H46" s="101"/>
    </row>
    <row r="47" spans="1:14" ht="27" customHeight="1" x14ac:dyDescent="0.4">
      <c r="A47" s="499"/>
      <c r="B47" s="500"/>
      <c r="C47" s="113" t="s">
        <v>79</v>
      </c>
      <c r="D47" s="114">
        <v>1</v>
      </c>
      <c r="E47" s="115"/>
      <c r="F47" s="111"/>
      <c r="H47" s="101"/>
    </row>
    <row r="48" spans="1:14" ht="18.75" x14ac:dyDescent="0.3">
      <c r="C48" s="116" t="s">
        <v>80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81</v>
      </c>
      <c r="D49" s="119">
        <f>D48/B34</f>
        <v>20</v>
      </c>
      <c r="F49" s="117"/>
      <c r="H49" s="101"/>
    </row>
    <row r="50" spans="1:12" ht="18.75" x14ac:dyDescent="0.3">
      <c r="C50" s="74" t="s">
        <v>82</v>
      </c>
      <c r="D50" s="120">
        <f>AVERAGE(E38:E41,G38:G41)</f>
        <v>60583599.573774792</v>
      </c>
      <c r="F50" s="121"/>
      <c r="H50" s="101"/>
    </row>
    <row r="51" spans="1:12" ht="18.75" x14ac:dyDescent="0.3">
      <c r="C51" s="76" t="s">
        <v>83</v>
      </c>
      <c r="D51" s="122">
        <f>STDEV(E38:E41,G38:G41)/D50</f>
        <v>1.5529686498725057E-2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84</v>
      </c>
    </row>
    <row r="55" spans="1:12" ht="18.75" x14ac:dyDescent="0.3">
      <c r="A55" s="51" t="s">
        <v>85</v>
      </c>
      <c r="B55" s="127" t="str">
        <f>B21</f>
        <v>Each film coated tablets contains lopinavir USP 200 mg ritonavir USP 50 mg</v>
      </c>
    </row>
    <row r="56" spans="1:12" ht="26.25" customHeight="1" x14ac:dyDescent="0.4">
      <c r="A56" s="128" t="s">
        <v>86</v>
      </c>
      <c r="B56" s="129">
        <v>200</v>
      </c>
      <c r="C56" s="51" t="str">
        <f>B20</f>
        <v>Lopinavir USP 200 mg</v>
      </c>
      <c r="H56" s="130"/>
    </row>
    <row r="57" spans="1:12" ht="18.75" x14ac:dyDescent="0.3">
      <c r="A57" s="127" t="s">
        <v>87</v>
      </c>
      <c r="B57" s="198">
        <f>Uniformity!C46</f>
        <v>1256.9815000000001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88</v>
      </c>
      <c r="B59" s="75">
        <v>200</v>
      </c>
      <c r="C59" s="51"/>
      <c r="D59" s="131" t="s">
        <v>89</v>
      </c>
      <c r="E59" s="132" t="s">
        <v>61</v>
      </c>
      <c r="F59" s="132" t="s">
        <v>62</v>
      </c>
      <c r="G59" s="132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501" t="s">
        <v>93</v>
      </c>
      <c r="D60" s="504">
        <v>1264.06</v>
      </c>
      <c r="E60" s="133">
        <v>1</v>
      </c>
      <c r="F60" s="134">
        <v>61476428</v>
      </c>
      <c r="G60" s="199">
        <f>IF(ISBLANK(F60),"-",(F60/$D$50*$D$47*$B$68)*($B$57/$D$60))</f>
        <v>201.81095844728145</v>
      </c>
      <c r="H60" s="217">
        <f t="shared" ref="H60:H71" si="0">IF(ISBLANK(F60),"-",(G60/$B$56)*100)</f>
        <v>100.90547922364073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502"/>
      <c r="D61" s="505"/>
      <c r="E61" s="135">
        <v>2</v>
      </c>
      <c r="F61" s="88">
        <v>61401265</v>
      </c>
      <c r="G61" s="200">
        <f>IF(ISBLANK(F61),"-",(F61/$D$50*$D$47*$B$68)*($B$57/$D$60))</f>
        <v>201.56421806949351</v>
      </c>
      <c r="H61" s="218">
        <f t="shared" si="0"/>
        <v>100.78210903474675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502"/>
      <c r="D62" s="505"/>
      <c r="E62" s="135">
        <v>3</v>
      </c>
      <c r="F62" s="136">
        <v>61313886</v>
      </c>
      <c r="G62" s="200">
        <f>IF(ISBLANK(F62),"-",(F62/$D$50*$D$47*$B$68)*($B$57/$D$60))</f>
        <v>201.2773757738064</v>
      </c>
      <c r="H62" s="218">
        <f t="shared" si="0"/>
        <v>100.6386878869032</v>
      </c>
      <c r="L62" s="64"/>
    </row>
    <row r="63" spans="1:12" ht="27" customHeight="1" x14ac:dyDescent="0.4">
      <c r="A63" s="76" t="s">
        <v>96</v>
      </c>
      <c r="B63" s="77">
        <v>1</v>
      </c>
      <c r="C63" s="503"/>
      <c r="D63" s="506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501" t="s">
        <v>98</v>
      </c>
      <c r="D64" s="504">
        <v>1242.1400000000001</v>
      </c>
      <c r="E64" s="133">
        <v>1</v>
      </c>
      <c r="F64" s="134"/>
      <c r="G64" s="199" t="str">
        <f>IF(ISBLANK(F64),"-",(F64/$D$50*$D$47*$B$68)*($B$57/$D$64))</f>
        <v>-</v>
      </c>
      <c r="H64" s="217" t="str">
        <f t="shared" si="0"/>
        <v>-</v>
      </c>
    </row>
    <row r="65" spans="1:8" ht="26.25" customHeight="1" x14ac:dyDescent="0.4">
      <c r="A65" s="76" t="s">
        <v>99</v>
      </c>
      <c r="B65" s="77">
        <v>1</v>
      </c>
      <c r="C65" s="502"/>
      <c r="D65" s="505"/>
      <c r="E65" s="135">
        <v>2</v>
      </c>
      <c r="F65" s="88"/>
      <c r="G65" s="200" t="str">
        <f>IF(ISBLANK(F65),"-",(F65/$D$50*$D$47*$B$68)*($B$57/$D$64))</f>
        <v>-</v>
      </c>
      <c r="H65" s="218" t="str">
        <f t="shared" si="0"/>
        <v>-</v>
      </c>
    </row>
    <row r="66" spans="1:8" ht="26.25" customHeight="1" x14ac:dyDescent="0.4">
      <c r="A66" s="76" t="s">
        <v>100</v>
      </c>
      <c r="B66" s="77">
        <v>1</v>
      </c>
      <c r="C66" s="502"/>
      <c r="D66" s="505"/>
      <c r="E66" s="135">
        <v>3</v>
      </c>
      <c r="F66" s="88">
        <v>61980841</v>
      </c>
      <c r="G66" s="200">
        <f>IF(ISBLANK(F66),"-",(F66/$D$50*$D$47*$B$68)*($B$57/$D$64))</f>
        <v>207.05738533781874</v>
      </c>
      <c r="H66" s="218">
        <f t="shared" si="0"/>
        <v>103.52869266890936</v>
      </c>
    </row>
    <row r="67" spans="1:8" ht="27" customHeight="1" x14ac:dyDescent="0.4">
      <c r="A67" s="76" t="s">
        <v>101</v>
      </c>
      <c r="B67" s="77">
        <v>1</v>
      </c>
      <c r="C67" s="503"/>
      <c r="D67" s="506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102</v>
      </c>
      <c r="B68" s="139">
        <f>(B67/B66)*(B65/B64)*(B63/B62)*(B61/B60)*B59</f>
        <v>200</v>
      </c>
      <c r="C68" s="501" t="s">
        <v>103</v>
      </c>
      <c r="D68" s="504">
        <v>1250.58</v>
      </c>
      <c r="E68" s="133">
        <v>1</v>
      </c>
      <c r="F68" s="134">
        <v>62215575</v>
      </c>
      <c r="G68" s="199">
        <f>IF(ISBLANK(F68),"-",(F68/$D$50*$D$47*$B$68)*($B$57/$D$68))</f>
        <v>206.43885827934901</v>
      </c>
      <c r="H68" s="218">
        <f t="shared" si="0"/>
        <v>103.2194291396745</v>
      </c>
    </row>
    <row r="69" spans="1:8" ht="27" customHeight="1" x14ac:dyDescent="0.4">
      <c r="A69" s="123" t="s">
        <v>104</v>
      </c>
      <c r="B69" s="140">
        <f>(D47*B68)/B56*B57</f>
        <v>1256.9815000000001</v>
      </c>
      <c r="C69" s="502"/>
      <c r="D69" s="505"/>
      <c r="E69" s="135">
        <v>2</v>
      </c>
      <c r="F69" s="88">
        <v>62580216</v>
      </c>
      <c r="G69" s="200">
        <f>IF(ISBLANK(F69),"-",(F69/$D$50*$D$47*$B$68)*($B$57/$D$68))</f>
        <v>207.64878154569897</v>
      </c>
      <c r="H69" s="218">
        <f t="shared" si="0"/>
        <v>103.82439077284948</v>
      </c>
    </row>
    <row r="70" spans="1:8" ht="26.25" customHeight="1" x14ac:dyDescent="0.4">
      <c r="A70" s="514" t="s">
        <v>77</v>
      </c>
      <c r="B70" s="515"/>
      <c r="C70" s="502"/>
      <c r="D70" s="505"/>
      <c r="E70" s="135">
        <v>3</v>
      </c>
      <c r="F70" s="88">
        <v>62472014</v>
      </c>
      <c r="G70" s="200">
        <f>IF(ISBLANK(F70),"-",(F70/$D$50*$D$47*$B$68)*($B$57/$D$68))</f>
        <v>207.28975412622174</v>
      </c>
      <c r="H70" s="218">
        <f t="shared" si="0"/>
        <v>103.64487706311087</v>
      </c>
    </row>
    <row r="71" spans="1:8" ht="27" customHeight="1" x14ac:dyDescent="0.4">
      <c r="A71" s="516"/>
      <c r="B71" s="517"/>
      <c r="C71" s="513"/>
      <c r="D71" s="506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70</v>
      </c>
      <c r="G72" s="205">
        <f>AVERAGE(G60:G71)</f>
        <v>204.72676165423854</v>
      </c>
      <c r="H72" s="220">
        <f>AVERAGE(H60:H71)</f>
        <v>102.36338082711927</v>
      </c>
    </row>
    <row r="73" spans="1:8" ht="26.25" customHeight="1" x14ac:dyDescent="0.4">
      <c r="C73" s="141"/>
      <c r="D73" s="141"/>
      <c r="E73" s="141"/>
      <c r="F73" s="144" t="s">
        <v>83</v>
      </c>
      <c r="G73" s="204">
        <f>STDEV(G60:G71)/G72</f>
        <v>1.4636309058577867E-2</v>
      </c>
      <c r="H73" s="204">
        <f>STDEV(H60:H71)/H72</f>
        <v>1.4636309058577849E-2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20</v>
      </c>
      <c r="G74" s="147">
        <f>COUNT(G60:G71)</f>
        <v>7</v>
      </c>
      <c r="H74" s="147">
        <f>COUNT(H60:H71)</f>
        <v>7</v>
      </c>
    </row>
    <row r="76" spans="1:8" ht="26.25" customHeight="1" x14ac:dyDescent="0.4">
      <c r="A76" s="60" t="s">
        <v>105</v>
      </c>
      <c r="B76" s="148" t="s">
        <v>106</v>
      </c>
      <c r="C76" s="509" t="str">
        <f>B26</f>
        <v>LOPINAVIR</v>
      </c>
      <c r="D76" s="509"/>
      <c r="E76" s="149" t="s">
        <v>107</v>
      </c>
      <c r="F76" s="149"/>
      <c r="G76" s="150">
        <f>H72</f>
        <v>102.36338082711927</v>
      </c>
      <c r="H76" s="151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5" t="str">
        <f>B26</f>
        <v>LOPINAVIR</v>
      </c>
      <c r="C79" s="495"/>
    </row>
    <row r="80" spans="1:8" ht="26.25" customHeight="1" x14ac:dyDescent="0.4">
      <c r="A80" s="61" t="s">
        <v>47</v>
      </c>
      <c r="B80" s="495" t="str">
        <f>B27</f>
        <v>L20 2</v>
      </c>
      <c r="C80" s="495"/>
    </row>
    <row r="81" spans="1:12" ht="27" customHeight="1" x14ac:dyDescent="0.4">
      <c r="A81" s="61" t="s">
        <v>6</v>
      </c>
      <c r="B81" s="152">
        <f>B28</f>
        <v>99.8</v>
      </c>
    </row>
    <row r="82" spans="1:12" s="3" customFormat="1" ht="27" customHeight="1" x14ac:dyDescent="0.4">
      <c r="A82" s="61" t="s">
        <v>48</v>
      </c>
      <c r="B82" s="63">
        <v>0</v>
      </c>
      <c r="C82" s="486" t="s">
        <v>49</v>
      </c>
      <c r="D82" s="487"/>
      <c r="E82" s="487"/>
      <c r="F82" s="487"/>
      <c r="G82" s="488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89" t="s">
        <v>110</v>
      </c>
      <c r="D84" s="490"/>
      <c r="E84" s="490"/>
      <c r="F84" s="490"/>
      <c r="G84" s="490"/>
      <c r="H84" s="491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89" t="s">
        <v>111</v>
      </c>
      <c r="D85" s="490"/>
      <c r="E85" s="490"/>
      <c r="F85" s="490"/>
      <c r="G85" s="490"/>
      <c r="H85" s="49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53" t="s">
        <v>58</v>
      </c>
      <c r="E89" s="154"/>
      <c r="F89" s="492" t="s">
        <v>59</v>
      </c>
      <c r="G89" s="494"/>
    </row>
    <row r="90" spans="1:12" ht="27" customHeight="1" x14ac:dyDescent="0.4">
      <c r="A90" s="76" t="s">
        <v>60</v>
      </c>
      <c r="B90" s="77">
        <v>2</v>
      </c>
      <c r="C90" s="155" t="s">
        <v>61</v>
      </c>
      <c r="D90" s="79" t="s">
        <v>62</v>
      </c>
      <c r="E90" s="80" t="s">
        <v>63</v>
      </c>
      <c r="F90" s="79" t="s">
        <v>62</v>
      </c>
      <c r="G90" s="156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10</v>
      </c>
      <c r="C91" s="157">
        <v>1</v>
      </c>
      <c r="D91" s="270">
        <v>11120674</v>
      </c>
      <c r="E91" s="84">
        <f>IF(ISBLANK(D91),"-",$D$101/$D$98*D91)</f>
        <v>13703449.449473871</v>
      </c>
      <c r="F91" s="270">
        <v>12530862</v>
      </c>
      <c r="G91" s="85">
        <f>IF(ISBLANK(F91),"-",$D$101/$F$98*F91)</f>
        <v>13972040.224665657</v>
      </c>
      <c r="I91" s="86"/>
    </row>
    <row r="92" spans="1:12" ht="26.25" customHeight="1" x14ac:dyDescent="0.4">
      <c r="A92" s="76" t="s">
        <v>66</v>
      </c>
      <c r="B92" s="77">
        <v>1</v>
      </c>
      <c r="C92" s="142">
        <v>2</v>
      </c>
      <c r="D92" s="275">
        <v>11119964</v>
      </c>
      <c r="E92" s="89">
        <f>IF(ISBLANK(D92),"-",$D$101/$D$98*D92)</f>
        <v>13702574.552043272</v>
      </c>
      <c r="F92" s="275">
        <v>12551316</v>
      </c>
      <c r="G92" s="90">
        <f>IF(ISBLANK(F92),"-",$D$101/$F$98*F92)</f>
        <v>13994846.645385582</v>
      </c>
      <c r="I92" s="496">
        <f>ABS((F96/D96*D95)-F95)/D95</f>
        <v>2.1680143485777535E-2</v>
      </c>
    </row>
    <row r="93" spans="1:12" ht="26.25" customHeight="1" x14ac:dyDescent="0.4">
      <c r="A93" s="76" t="s">
        <v>67</v>
      </c>
      <c r="B93" s="77">
        <v>1</v>
      </c>
      <c r="C93" s="142">
        <v>3</v>
      </c>
      <c r="D93" s="275">
        <v>11122020</v>
      </c>
      <c r="E93" s="89">
        <f>IF(ISBLANK(D93),"-",$D$101/$D$98*D93)</f>
        <v>13705108.057842301</v>
      </c>
      <c r="F93" s="275">
        <v>12511759</v>
      </c>
      <c r="G93" s="90">
        <f>IF(ISBLANK(F93),"-",$D$101/$F$98*F93)</f>
        <v>13950740.182863921</v>
      </c>
      <c r="I93" s="496"/>
    </row>
    <row r="94" spans="1:12" ht="27" customHeight="1" x14ac:dyDescent="0.4">
      <c r="A94" s="76" t="s">
        <v>68</v>
      </c>
      <c r="B94" s="77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">
      <c r="A95" s="76" t="s">
        <v>69</v>
      </c>
      <c r="B95" s="77">
        <v>1</v>
      </c>
      <c r="C95" s="160" t="s">
        <v>70</v>
      </c>
      <c r="D95" s="161">
        <f>AVERAGE(D91:D94)</f>
        <v>11120886</v>
      </c>
      <c r="E95" s="99">
        <f>AVERAGE(E91:E94)</f>
        <v>13703710.686453149</v>
      </c>
      <c r="F95" s="162">
        <f>AVERAGE(F91:F94)</f>
        <v>12531312.333333334</v>
      </c>
      <c r="G95" s="163">
        <f>AVERAGE(G91:G94)</f>
        <v>13972542.350971719</v>
      </c>
    </row>
    <row r="96" spans="1:12" ht="26.25" customHeight="1" x14ac:dyDescent="0.4">
      <c r="A96" s="76" t="s">
        <v>71</v>
      </c>
      <c r="B96" s="62">
        <v>1</v>
      </c>
      <c r="C96" s="164" t="s">
        <v>112</v>
      </c>
      <c r="D96" s="165">
        <v>18.07</v>
      </c>
      <c r="E96" s="91"/>
      <c r="F96" s="103">
        <v>19.97</v>
      </c>
    </row>
    <row r="97" spans="1:10" ht="26.25" customHeight="1" x14ac:dyDescent="0.4">
      <c r="A97" s="76" t="s">
        <v>73</v>
      </c>
      <c r="B97" s="62">
        <v>1</v>
      </c>
      <c r="C97" s="166" t="s">
        <v>113</v>
      </c>
      <c r="D97" s="167">
        <f>D96*$B$87</f>
        <v>18.07</v>
      </c>
      <c r="E97" s="106"/>
      <c r="F97" s="105">
        <f>F96*$B$87</f>
        <v>19.97</v>
      </c>
    </row>
    <row r="98" spans="1:10" ht="19.5" customHeight="1" x14ac:dyDescent="0.3">
      <c r="A98" s="76" t="s">
        <v>75</v>
      </c>
      <c r="B98" s="168">
        <f>(B97/B96)*(B95/B94)*(B93/B92)*(B91/B90)*B89</f>
        <v>100</v>
      </c>
      <c r="C98" s="166" t="s">
        <v>114</v>
      </c>
      <c r="D98" s="169">
        <f>D97*$B$83/100</f>
        <v>18.033860000000001</v>
      </c>
      <c r="E98" s="109"/>
      <c r="F98" s="108">
        <f>F97*$B$83/100</f>
        <v>19.930059999999997</v>
      </c>
    </row>
    <row r="99" spans="1:10" ht="19.5" customHeight="1" x14ac:dyDescent="0.3">
      <c r="A99" s="497" t="s">
        <v>77</v>
      </c>
      <c r="B99" s="511"/>
      <c r="C99" s="166" t="s">
        <v>115</v>
      </c>
      <c r="D99" s="170">
        <f>D98/$B$98</f>
        <v>0.18033860000000002</v>
      </c>
      <c r="E99" s="109"/>
      <c r="F99" s="112">
        <f>F98/$B$98</f>
        <v>0.19930059999999997</v>
      </c>
      <c r="G99" s="171"/>
      <c r="H99" s="101"/>
    </row>
    <row r="100" spans="1:10" ht="19.5" customHeight="1" x14ac:dyDescent="0.3">
      <c r="A100" s="499"/>
      <c r="B100" s="512"/>
      <c r="C100" s="166" t="s">
        <v>79</v>
      </c>
      <c r="D100" s="172">
        <f>$B$56/$B$116</f>
        <v>0.22222222222222221</v>
      </c>
      <c r="F100" s="117"/>
      <c r="G100" s="173"/>
      <c r="H100" s="101"/>
    </row>
    <row r="101" spans="1:10" ht="18.75" x14ac:dyDescent="0.3">
      <c r="C101" s="166" t="s">
        <v>80</v>
      </c>
      <c r="D101" s="167">
        <f>D100*$B$98</f>
        <v>22.222222222222221</v>
      </c>
      <c r="F101" s="117"/>
      <c r="G101" s="171"/>
      <c r="H101" s="101"/>
    </row>
    <row r="102" spans="1:10" ht="19.5" customHeight="1" x14ac:dyDescent="0.3">
      <c r="C102" s="174" t="s">
        <v>81</v>
      </c>
      <c r="D102" s="175">
        <f>D101/B34</f>
        <v>22.222222222222221</v>
      </c>
      <c r="F102" s="121"/>
      <c r="G102" s="171"/>
      <c r="H102" s="101"/>
      <c r="J102" s="176"/>
    </row>
    <row r="103" spans="1:10" ht="18.75" x14ac:dyDescent="0.3">
      <c r="C103" s="177" t="s">
        <v>116</v>
      </c>
      <c r="D103" s="178">
        <f>AVERAGE(E91:E94,G91:G94)</f>
        <v>13838126.518712433</v>
      </c>
      <c r="F103" s="121"/>
      <c r="G103" s="179"/>
      <c r="H103" s="101"/>
      <c r="J103" s="180"/>
    </row>
    <row r="104" spans="1:10" ht="18.75" x14ac:dyDescent="0.3">
      <c r="C104" s="144" t="s">
        <v>83</v>
      </c>
      <c r="D104" s="181">
        <f>STDEV(E91:E94,G91:G94)/D103</f>
        <v>1.068835281512283E-2</v>
      </c>
      <c r="F104" s="121"/>
      <c r="G104" s="171"/>
      <c r="H104" s="101"/>
      <c r="J104" s="180"/>
    </row>
    <row r="105" spans="1:10" ht="19.5" customHeight="1" x14ac:dyDescent="0.3">
      <c r="C105" s="146" t="s">
        <v>20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7" customHeight="1" x14ac:dyDescent="0.4">
      <c r="A107" s="74" t="s">
        <v>117</v>
      </c>
      <c r="B107" s="75">
        <v>900</v>
      </c>
      <c r="C107" s="221" t="s">
        <v>118</v>
      </c>
      <c r="D107" s="221" t="s">
        <v>62</v>
      </c>
      <c r="E107" s="221" t="s">
        <v>119</v>
      </c>
      <c r="F107" s="183" t="s">
        <v>120</v>
      </c>
    </row>
    <row r="108" spans="1:10" ht="26.25" customHeight="1" x14ac:dyDescent="0.4">
      <c r="A108" s="76" t="s">
        <v>121</v>
      </c>
      <c r="B108" s="77">
        <v>1</v>
      </c>
      <c r="C108" s="226">
        <v>1</v>
      </c>
      <c r="D108" s="227">
        <v>13813153</v>
      </c>
      <c r="E108" s="201">
        <f t="shared" ref="E108:E113" si="1">IF(ISBLANK(D108),"-",D108/$D$103*$D$100*$B$116)</f>
        <v>199.63906214213804</v>
      </c>
      <c r="F108" s="228">
        <f t="shared" ref="F108:F113" si="2">IF(ISBLANK(D108), "-", (E108/$B$56)*100)</f>
        <v>99.819531071069022</v>
      </c>
    </row>
    <row r="109" spans="1:10" ht="26.25" customHeight="1" x14ac:dyDescent="0.4">
      <c r="A109" s="76" t="s">
        <v>94</v>
      </c>
      <c r="B109" s="77">
        <v>1</v>
      </c>
      <c r="C109" s="222">
        <v>2</v>
      </c>
      <c r="D109" s="224">
        <v>13191795</v>
      </c>
      <c r="E109" s="202">
        <f t="shared" si="1"/>
        <v>190.65868464436366</v>
      </c>
      <c r="F109" s="229">
        <f t="shared" si="2"/>
        <v>95.32934232218183</v>
      </c>
    </row>
    <row r="110" spans="1:10" ht="26.25" customHeight="1" x14ac:dyDescent="0.4">
      <c r="A110" s="76" t="s">
        <v>95</v>
      </c>
      <c r="B110" s="77">
        <v>1</v>
      </c>
      <c r="C110" s="222">
        <v>3</v>
      </c>
      <c r="D110" s="224">
        <v>13309663</v>
      </c>
      <c r="E110" s="202">
        <f t="shared" si="1"/>
        <v>192.36221004342133</v>
      </c>
      <c r="F110" s="229">
        <f t="shared" si="2"/>
        <v>96.181105021710664</v>
      </c>
    </row>
    <row r="111" spans="1:10" ht="26.25" customHeight="1" x14ac:dyDescent="0.4">
      <c r="A111" s="76" t="s">
        <v>96</v>
      </c>
      <c r="B111" s="77">
        <v>1</v>
      </c>
      <c r="C111" s="222">
        <v>4</v>
      </c>
      <c r="D111" s="224">
        <v>13133032</v>
      </c>
      <c r="E111" s="202">
        <f t="shared" si="1"/>
        <v>189.80939337765153</v>
      </c>
      <c r="F111" s="229">
        <f t="shared" si="2"/>
        <v>94.904696688825766</v>
      </c>
    </row>
    <row r="112" spans="1:10" ht="26.25" customHeight="1" x14ac:dyDescent="0.4">
      <c r="A112" s="76" t="s">
        <v>97</v>
      </c>
      <c r="B112" s="77">
        <v>1</v>
      </c>
      <c r="C112" s="222">
        <v>5</v>
      </c>
      <c r="D112" s="224">
        <v>13784110</v>
      </c>
      <c r="E112" s="202">
        <f t="shared" si="1"/>
        <v>199.21930878953316</v>
      </c>
      <c r="F112" s="229">
        <f t="shared" si="2"/>
        <v>99.609654394766579</v>
      </c>
    </row>
    <row r="113" spans="1:10" ht="27" customHeight="1" x14ac:dyDescent="0.4">
      <c r="A113" s="76" t="s">
        <v>99</v>
      </c>
      <c r="B113" s="77">
        <v>1</v>
      </c>
      <c r="C113" s="223">
        <v>6</v>
      </c>
      <c r="D113" s="225">
        <v>13742247</v>
      </c>
      <c r="E113" s="203">
        <f t="shared" si="1"/>
        <v>198.6142702397932</v>
      </c>
      <c r="F113" s="230">
        <f t="shared" si="2"/>
        <v>99.3071351198966</v>
      </c>
    </row>
    <row r="114" spans="1:10" ht="27" customHeight="1" x14ac:dyDescent="0.4">
      <c r="A114" s="76" t="s">
        <v>100</v>
      </c>
      <c r="B114" s="77">
        <v>1</v>
      </c>
      <c r="C114" s="184"/>
      <c r="D114" s="142"/>
      <c r="E114" s="50"/>
      <c r="F114" s="231"/>
    </row>
    <row r="115" spans="1:10" ht="26.25" customHeight="1" x14ac:dyDescent="0.4">
      <c r="A115" s="76" t="s">
        <v>101</v>
      </c>
      <c r="B115" s="77">
        <v>1</v>
      </c>
      <c r="C115" s="184"/>
      <c r="D115" s="208" t="s">
        <v>70</v>
      </c>
      <c r="E115" s="210">
        <f>AVERAGE(E108:E113)</f>
        <v>195.05048820615016</v>
      </c>
      <c r="F115" s="232">
        <f>AVERAGE(F108:F113)</f>
        <v>97.525244103075082</v>
      </c>
    </row>
    <row r="116" spans="1:10" ht="27" customHeight="1" x14ac:dyDescent="0.4">
      <c r="A116" s="76" t="s">
        <v>102</v>
      </c>
      <c r="B116" s="107">
        <f>(B115/B114)*(B113/B112)*(B111/B110)*(B109/B108)*B107</f>
        <v>900</v>
      </c>
      <c r="C116" s="185"/>
      <c r="D116" s="209" t="s">
        <v>83</v>
      </c>
      <c r="E116" s="207">
        <f>STDEV(E108:E113)/E115</f>
        <v>2.3507555721133992E-2</v>
      </c>
      <c r="F116" s="186">
        <f>STDEV(F108:F113)/F115</f>
        <v>2.3507555721133992E-2</v>
      </c>
      <c r="I116" s="50"/>
    </row>
    <row r="117" spans="1:10" ht="27" customHeight="1" x14ac:dyDescent="0.4">
      <c r="A117" s="497" t="s">
        <v>77</v>
      </c>
      <c r="B117" s="498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499"/>
      <c r="B118" s="500"/>
      <c r="C118" s="50"/>
      <c r="D118" s="211"/>
      <c r="E118" s="477" t="s">
        <v>122</v>
      </c>
      <c r="F118" s="478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123</v>
      </c>
      <c r="E119" s="214">
        <f>MIN(E108:E113)</f>
        <v>189.80939337765153</v>
      </c>
      <c r="F119" s="233">
        <f>MIN(F108:F113)</f>
        <v>94.904696688825766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8" t="s">
        <v>124</v>
      </c>
      <c r="E120" s="215">
        <f>MAX(E108:E113)</f>
        <v>199.63906214213804</v>
      </c>
      <c r="F120" s="234">
        <f>MAX(F108:F113)</f>
        <v>99.819531071069022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65">
      <c r="A124" s="60" t="s">
        <v>105</v>
      </c>
      <c r="B124" s="148" t="s">
        <v>125</v>
      </c>
      <c r="C124" s="509" t="str">
        <f>B26</f>
        <v>LOPINAVIR</v>
      </c>
      <c r="D124" s="509"/>
      <c r="E124" s="149" t="s">
        <v>126</v>
      </c>
      <c r="F124" s="149"/>
      <c r="G124" s="235">
        <f>F115</f>
        <v>97.525244103075082</v>
      </c>
      <c r="H124" s="50"/>
      <c r="I124" s="50"/>
    </row>
    <row r="125" spans="1:10" ht="45.75" customHeight="1" x14ac:dyDescent="0.65">
      <c r="A125" s="60"/>
      <c r="B125" s="148" t="s">
        <v>127</v>
      </c>
      <c r="C125" s="61" t="s">
        <v>128</v>
      </c>
      <c r="D125" s="235">
        <f>MIN(F108:F113)</f>
        <v>94.904696688825766</v>
      </c>
      <c r="E125" s="160" t="s">
        <v>129</v>
      </c>
      <c r="F125" s="235">
        <f>MAX(F108:F113)</f>
        <v>99.819531071069022</v>
      </c>
      <c r="G125" s="150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510" t="s">
        <v>25</v>
      </c>
      <c r="C127" s="510"/>
      <c r="E127" s="155" t="s">
        <v>26</v>
      </c>
      <c r="F127" s="190"/>
      <c r="G127" s="510" t="s">
        <v>27</v>
      </c>
      <c r="H127" s="510"/>
    </row>
    <row r="128" spans="1:10" ht="69.95" customHeight="1" x14ac:dyDescent="0.3">
      <c r="A128" s="191" t="s">
        <v>28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29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50" zoomScaleNormal="40" zoomScaleSheetLayoutView="50" zoomScalePageLayoutView="55" workbookViewId="0">
      <selection activeCell="K72" sqref="K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7" t="s">
        <v>44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45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236"/>
    </row>
    <row r="16" spans="1:9" ht="19.5" customHeight="1" x14ac:dyDescent="0.3">
      <c r="A16" s="480" t="s">
        <v>30</v>
      </c>
      <c r="B16" s="481"/>
      <c r="C16" s="481"/>
      <c r="D16" s="481"/>
      <c r="E16" s="481"/>
      <c r="F16" s="481"/>
      <c r="G16" s="481"/>
      <c r="H16" s="482"/>
    </row>
    <row r="17" spans="1:14" ht="20.25" customHeight="1" x14ac:dyDescent="0.25">
      <c r="A17" s="483" t="s">
        <v>46</v>
      </c>
      <c r="B17" s="483"/>
      <c r="C17" s="483"/>
      <c r="D17" s="483"/>
      <c r="E17" s="483"/>
      <c r="F17" s="483"/>
      <c r="G17" s="483"/>
      <c r="H17" s="483"/>
    </row>
    <row r="18" spans="1:14" ht="26.25" customHeight="1" x14ac:dyDescent="0.4">
      <c r="A18" s="238" t="s">
        <v>32</v>
      </c>
      <c r="B18" s="479" t="s">
        <v>5</v>
      </c>
      <c r="C18" s="479"/>
      <c r="D18" s="384"/>
      <c r="E18" s="239"/>
      <c r="F18" s="240"/>
      <c r="G18" s="240"/>
      <c r="H18" s="240"/>
    </row>
    <row r="19" spans="1:14" ht="26.25" customHeight="1" x14ac:dyDescent="0.4">
      <c r="A19" s="238" t="s">
        <v>33</v>
      </c>
      <c r="B19" s="241" t="s">
        <v>7</v>
      </c>
      <c r="C19" s="393">
        <v>1</v>
      </c>
      <c r="D19" s="240"/>
      <c r="E19" s="240"/>
      <c r="F19" s="240"/>
      <c r="G19" s="240"/>
      <c r="H19" s="240"/>
    </row>
    <row r="20" spans="1:14" ht="26.25" customHeight="1" x14ac:dyDescent="0.4">
      <c r="A20" s="238" t="s">
        <v>34</v>
      </c>
      <c r="B20" s="484" t="s">
        <v>136</v>
      </c>
      <c r="C20" s="484"/>
      <c r="D20" s="240"/>
      <c r="E20" s="240"/>
      <c r="F20" s="240"/>
      <c r="G20" s="240"/>
      <c r="H20" s="240"/>
    </row>
    <row r="21" spans="1:14" ht="26.25" customHeight="1" x14ac:dyDescent="0.4">
      <c r="A21" s="238" t="s">
        <v>35</v>
      </c>
      <c r="B21" s="484" t="s">
        <v>11</v>
      </c>
      <c r="C21" s="484"/>
      <c r="D21" s="484"/>
      <c r="E21" s="484"/>
      <c r="F21" s="484"/>
      <c r="G21" s="484"/>
      <c r="H21" s="484"/>
      <c r="I21" s="242"/>
    </row>
    <row r="22" spans="1:14" ht="26.25" customHeight="1" x14ac:dyDescent="0.4">
      <c r="A22" s="238" t="s">
        <v>36</v>
      </c>
      <c r="B22" s="243" t="s">
        <v>12</v>
      </c>
      <c r="C22" s="240"/>
      <c r="D22" s="240"/>
      <c r="E22" s="240"/>
      <c r="F22" s="240"/>
      <c r="G22" s="240"/>
      <c r="H22" s="240"/>
    </row>
    <row r="23" spans="1:14" ht="26.25" customHeight="1" x14ac:dyDescent="0.4">
      <c r="A23" s="238" t="s">
        <v>37</v>
      </c>
      <c r="B23" s="243"/>
      <c r="C23" s="240"/>
      <c r="D23" s="240"/>
      <c r="E23" s="240"/>
      <c r="F23" s="240"/>
      <c r="G23" s="240"/>
      <c r="H23" s="240"/>
    </row>
    <row r="24" spans="1:14" ht="18.75" x14ac:dyDescent="0.3">
      <c r="A24" s="238"/>
      <c r="B24" s="244"/>
    </row>
    <row r="25" spans="1:14" ht="18.75" x14ac:dyDescent="0.3">
      <c r="A25" s="245" t="s">
        <v>1</v>
      </c>
      <c r="B25" s="244"/>
    </row>
    <row r="26" spans="1:14" ht="26.25" customHeight="1" x14ac:dyDescent="0.4">
      <c r="A26" s="246" t="s">
        <v>4</v>
      </c>
      <c r="B26" s="479" t="s">
        <v>132</v>
      </c>
      <c r="C26" s="479"/>
    </row>
    <row r="27" spans="1:14" ht="26.25" customHeight="1" x14ac:dyDescent="0.4">
      <c r="A27" s="247" t="s">
        <v>47</v>
      </c>
      <c r="B27" s="485" t="s">
        <v>135</v>
      </c>
      <c r="C27" s="485"/>
    </row>
    <row r="28" spans="1:14" ht="27" customHeight="1" x14ac:dyDescent="0.4">
      <c r="A28" s="247" t="s">
        <v>6</v>
      </c>
      <c r="B28" s="248">
        <v>99.4</v>
      </c>
    </row>
    <row r="29" spans="1:14" s="3" customFormat="1" ht="27" customHeight="1" x14ac:dyDescent="0.4">
      <c r="A29" s="247" t="s">
        <v>48</v>
      </c>
      <c r="B29" s="249">
        <v>0</v>
      </c>
      <c r="C29" s="486" t="s">
        <v>49</v>
      </c>
      <c r="D29" s="487"/>
      <c r="E29" s="487"/>
      <c r="F29" s="487"/>
      <c r="G29" s="488"/>
      <c r="I29" s="250"/>
      <c r="J29" s="250"/>
      <c r="K29" s="250"/>
      <c r="L29" s="250"/>
    </row>
    <row r="30" spans="1:14" s="3" customFormat="1" ht="19.5" customHeight="1" x14ac:dyDescent="0.3">
      <c r="A30" s="247" t="s">
        <v>50</v>
      </c>
      <c r="B30" s="251">
        <f>B28-B29</f>
        <v>99.4</v>
      </c>
      <c r="C30" s="252"/>
      <c r="D30" s="252"/>
      <c r="E30" s="252"/>
      <c r="F30" s="252"/>
      <c r="G30" s="253"/>
      <c r="I30" s="250"/>
      <c r="J30" s="250"/>
      <c r="K30" s="250"/>
      <c r="L30" s="250"/>
    </row>
    <row r="31" spans="1:14" s="3" customFormat="1" ht="27" customHeight="1" x14ac:dyDescent="0.4">
      <c r="A31" s="247" t="s">
        <v>51</v>
      </c>
      <c r="B31" s="254">
        <v>1</v>
      </c>
      <c r="C31" s="489" t="s">
        <v>52</v>
      </c>
      <c r="D31" s="490"/>
      <c r="E31" s="490"/>
      <c r="F31" s="490"/>
      <c r="G31" s="490"/>
      <c r="H31" s="491"/>
      <c r="I31" s="250"/>
      <c r="J31" s="250"/>
      <c r="K31" s="250"/>
      <c r="L31" s="250"/>
    </row>
    <row r="32" spans="1:14" s="3" customFormat="1" ht="27" customHeight="1" x14ac:dyDescent="0.4">
      <c r="A32" s="247" t="s">
        <v>53</v>
      </c>
      <c r="B32" s="254">
        <v>1</v>
      </c>
      <c r="C32" s="489" t="s">
        <v>54</v>
      </c>
      <c r="D32" s="490"/>
      <c r="E32" s="490"/>
      <c r="F32" s="490"/>
      <c r="G32" s="490"/>
      <c r="H32" s="491"/>
      <c r="I32" s="250"/>
      <c r="J32" s="250"/>
      <c r="K32" s="250"/>
      <c r="L32" s="255"/>
      <c r="M32" s="255"/>
      <c r="N32" s="256"/>
    </row>
    <row r="33" spans="1:14" s="3" customFormat="1" ht="17.25" customHeight="1" x14ac:dyDescent="0.3">
      <c r="A33" s="247"/>
      <c r="B33" s="257"/>
      <c r="C33" s="258"/>
      <c r="D33" s="258"/>
      <c r="E33" s="258"/>
      <c r="F33" s="258"/>
      <c r="G33" s="258"/>
      <c r="H33" s="258"/>
      <c r="I33" s="250"/>
      <c r="J33" s="250"/>
      <c r="K33" s="250"/>
      <c r="L33" s="255"/>
      <c r="M33" s="255"/>
      <c r="N33" s="256"/>
    </row>
    <row r="34" spans="1:14" s="3" customFormat="1" ht="18.75" x14ac:dyDescent="0.3">
      <c r="A34" s="247" t="s">
        <v>55</v>
      </c>
      <c r="B34" s="259">
        <f>B31/B32</f>
        <v>1</v>
      </c>
      <c r="C34" s="237" t="s">
        <v>56</v>
      </c>
      <c r="D34" s="237"/>
      <c r="E34" s="237"/>
      <c r="F34" s="237"/>
      <c r="G34" s="237"/>
      <c r="I34" s="250"/>
      <c r="J34" s="250"/>
      <c r="K34" s="250"/>
      <c r="L34" s="255"/>
      <c r="M34" s="255"/>
      <c r="N34" s="256"/>
    </row>
    <row r="35" spans="1:14" s="3" customFormat="1" ht="19.5" customHeight="1" x14ac:dyDescent="0.3">
      <c r="A35" s="247"/>
      <c r="B35" s="251"/>
      <c r="G35" s="237"/>
      <c r="I35" s="250"/>
      <c r="J35" s="250"/>
      <c r="K35" s="250"/>
      <c r="L35" s="255"/>
      <c r="M35" s="255"/>
      <c r="N35" s="256"/>
    </row>
    <row r="36" spans="1:14" s="3" customFormat="1" ht="27" customHeight="1" x14ac:dyDescent="0.4">
      <c r="A36" s="260" t="s">
        <v>57</v>
      </c>
      <c r="B36" s="261">
        <v>25</v>
      </c>
      <c r="C36" s="237"/>
      <c r="D36" s="492" t="s">
        <v>58</v>
      </c>
      <c r="E36" s="493"/>
      <c r="F36" s="492" t="s">
        <v>59</v>
      </c>
      <c r="G36" s="494"/>
      <c r="J36" s="250"/>
      <c r="K36" s="250"/>
      <c r="L36" s="255"/>
      <c r="M36" s="255"/>
      <c r="N36" s="256"/>
    </row>
    <row r="37" spans="1:14" s="3" customFormat="1" ht="27" customHeight="1" x14ac:dyDescent="0.4">
      <c r="A37" s="262" t="s">
        <v>60</v>
      </c>
      <c r="B37" s="263">
        <v>10</v>
      </c>
      <c r="C37" s="264" t="s">
        <v>61</v>
      </c>
      <c r="D37" s="265" t="s">
        <v>62</v>
      </c>
      <c r="E37" s="266" t="s">
        <v>63</v>
      </c>
      <c r="F37" s="265" t="s">
        <v>62</v>
      </c>
      <c r="G37" s="267" t="s">
        <v>63</v>
      </c>
      <c r="I37" s="268" t="s">
        <v>64</v>
      </c>
      <c r="J37" s="250"/>
      <c r="K37" s="250"/>
      <c r="L37" s="255"/>
      <c r="M37" s="255"/>
      <c r="N37" s="256"/>
    </row>
    <row r="38" spans="1:14" s="3" customFormat="1" ht="26.25" customHeight="1" x14ac:dyDescent="0.4">
      <c r="A38" s="262" t="s">
        <v>65</v>
      </c>
      <c r="B38" s="263">
        <v>20</v>
      </c>
      <c r="C38" s="269">
        <v>1</v>
      </c>
      <c r="D38" s="270">
        <v>12913622</v>
      </c>
      <c r="E38" s="271">
        <f>IF(ISBLANK(D38),"-",$D$48/$D$45*D38)</f>
        <v>14551491.295442909</v>
      </c>
      <c r="F38" s="270">
        <v>14077581</v>
      </c>
      <c r="G38" s="272">
        <f>IF(ISBLANK(F38),"-",$D$48/$F$45*F38)</f>
        <v>14276770.502044525</v>
      </c>
      <c r="I38" s="273"/>
      <c r="J38" s="250"/>
      <c r="K38" s="250"/>
      <c r="L38" s="255"/>
      <c r="M38" s="255"/>
      <c r="N38" s="256"/>
    </row>
    <row r="39" spans="1:14" s="3" customFormat="1" ht="26.25" customHeight="1" x14ac:dyDescent="0.4">
      <c r="A39" s="262" t="s">
        <v>66</v>
      </c>
      <c r="B39" s="263">
        <v>1</v>
      </c>
      <c r="C39" s="274">
        <v>2</v>
      </c>
      <c r="D39" s="275">
        <v>12898951</v>
      </c>
      <c r="E39" s="276">
        <f>IF(ISBLANK(D39),"-",$D$48/$D$45*D39)</f>
        <v>14534959.533184772</v>
      </c>
      <c r="F39" s="275">
        <v>14099261</v>
      </c>
      <c r="G39" s="277">
        <f>IF(ISBLANK(F39),"-",$D$48/$F$45*F39)</f>
        <v>14298757.261309793</v>
      </c>
      <c r="I39" s="496">
        <f>ABS((F43/D43*D42)-F42)/D42</f>
        <v>2.0667744730882242E-2</v>
      </c>
      <c r="J39" s="250"/>
      <c r="K39" s="250"/>
      <c r="L39" s="255"/>
      <c r="M39" s="255"/>
      <c r="N39" s="256"/>
    </row>
    <row r="40" spans="1:14" ht="26.25" customHeight="1" x14ac:dyDescent="0.4">
      <c r="A40" s="262" t="s">
        <v>67</v>
      </c>
      <c r="B40" s="263">
        <v>1</v>
      </c>
      <c r="C40" s="274">
        <v>3</v>
      </c>
      <c r="D40" s="275">
        <v>12964544</v>
      </c>
      <c r="E40" s="276">
        <f>IF(ISBLANK(D40),"-",$D$48/$D$45*D40)</f>
        <v>14608871.869208081</v>
      </c>
      <c r="F40" s="275">
        <v>14107408</v>
      </c>
      <c r="G40" s="277">
        <f>IF(ISBLANK(F40),"-",$D$48/$F$45*F40)</f>
        <v>14307019.536574284</v>
      </c>
      <c r="I40" s="496"/>
      <c r="L40" s="255"/>
      <c r="M40" s="255"/>
      <c r="N40" s="278"/>
    </row>
    <row r="41" spans="1:14" ht="27" customHeight="1" x14ac:dyDescent="0.4">
      <c r="A41" s="262" t="s">
        <v>68</v>
      </c>
      <c r="B41" s="263">
        <v>1</v>
      </c>
      <c r="C41" s="279">
        <v>4</v>
      </c>
      <c r="D41" s="280"/>
      <c r="E41" s="281" t="str">
        <f>IF(ISBLANK(D41),"-",$D$48/$D$45*D41)</f>
        <v>-</v>
      </c>
      <c r="F41" s="280"/>
      <c r="G41" s="282" t="str">
        <f>IF(ISBLANK(F41),"-",$D$48/$F$45*F41)</f>
        <v>-</v>
      </c>
      <c r="I41" s="283"/>
      <c r="L41" s="255"/>
      <c r="M41" s="255"/>
      <c r="N41" s="278"/>
    </row>
    <row r="42" spans="1:14" ht="27" customHeight="1" x14ac:dyDescent="0.4">
      <c r="A42" s="262" t="s">
        <v>69</v>
      </c>
      <c r="B42" s="263">
        <v>1</v>
      </c>
      <c r="C42" s="284" t="s">
        <v>70</v>
      </c>
      <c r="D42" s="285">
        <f>AVERAGE(D38:D41)</f>
        <v>12925705.666666666</v>
      </c>
      <c r="E42" s="286">
        <f>AVERAGE(E38:E41)</f>
        <v>14565107.565945255</v>
      </c>
      <c r="F42" s="285">
        <f>AVERAGE(F38:F41)</f>
        <v>14094750</v>
      </c>
      <c r="G42" s="287">
        <f>AVERAGE(G38:G41)</f>
        <v>14294182.433309533</v>
      </c>
      <c r="H42" s="288"/>
    </row>
    <row r="43" spans="1:14" ht="26.25" customHeight="1" x14ac:dyDescent="0.4">
      <c r="A43" s="262" t="s">
        <v>71</v>
      </c>
      <c r="B43" s="263">
        <v>1</v>
      </c>
      <c r="C43" s="289" t="s">
        <v>72</v>
      </c>
      <c r="D43" s="290">
        <v>11.16</v>
      </c>
      <c r="E43" s="278"/>
      <c r="F43" s="290">
        <v>12.4</v>
      </c>
      <c r="H43" s="288"/>
    </row>
    <row r="44" spans="1:14" ht="26.25" customHeight="1" x14ac:dyDescent="0.4">
      <c r="A44" s="262" t="s">
        <v>73</v>
      </c>
      <c r="B44" s="263">
        <v>1</v>
      </c>
      <c r="C44" s="291" t="s">
        <v>74</v>
      </c>
      <c r="D44" s="292">
        <f>D43*$B$34</f>
        <v>11.16</v>
      </c>
      <c r="E44" s="293"/>
      <c r="F44" s="292">
        <f>F43*$B$34</f>
        <v>12.4</v>
      </c>
      <c r="H44" s="288"/>
    </row>
    <row r="45" spans="1:14" ht="19.5" customHeight="1" x14ac:dyDescent="0.3">
      <c r="A45" s="262" t="s">
        <v>75</v>
      </c>
      <c r="B45" s="294">
        <f>(B44/B43)*(B42/B41)*(B40/B39)*(B38/B37)*B36</f>
        <v>50</v>
      </c>
      <c r="C45" s="291" t="s">
        <v>76</v>
      </c>
      <c r="D45" s="295">
        <f>D44*$B$30/100</f>
        <v>11.09304</v>
      </c>
      <c r="E45" s="296"/>
      <c r="F45" s="295">
        <f>F44*$B$30/100</f>
        <v>12.325600000000001</v>
      </c>
      <c r="H45" s="288"/>
    </row>
    <row r="46" spans="1:14" ht="19.5" customHeight="1" x14ac:dyDescent="0.3">
      <c r="A46" s="497" t="s">
        <v>77</v>
      </c>
      <c r="B46" s="498"/>
      <c r="C46" s="291" t="s">
        <v>78</v>
      </c>
      <c r="D46" s="297">
        <f>D45/$B$45</f>
        <v>0.2218608</v>
      </c>
      <c r="E46" s="298"/>
      <c r="F46" s="299">
        <f>F45/$B$45</f>
        <v>0.24651200000000004</v>
      </c>
      <c r="H46" s="288"/>
    </row>
    <row r="47" spans="1:14" ht="27" customHeight="1" x14ac:dyDescent="0.4">
      <c r="A47" s="499"/>
      <c r="B47" s="500"/>
      <c r="C47" s="300" t="s">
        <v>79</v>
      </c>
      <c r="D47" s="301">
        <v>0.25</v>
      </c>
      <c r="E47" s="302"/>
      <c r="F47" s="298"/>
      <c r="H47" s="288"/>
    </row>
    <row r="48" spans="1:14" ht="18.75" x14ac:dyDescent="0.3">
      <c r="C48" s="303" t="s">
        <v>80</v>
      </c>
      <c r="D48" s="295">
        <f>D47*$B$45</f>
        <v>12.5</v>
      </c>
      <c r="F48" s="304"/>
      <c r="H48" s="288"/>
    </row>
    <row r="49" spans="1:12" ht="19.5" customHeight="1" x14ac:dyDescent="0.3">
      <c r="C49" s="305" t="s">
        <v>81</v>
      </c>
      <c r="D49" s="306">
        <f>D48/B34</f>
        <v>12.5</v>
      </c>
      <c r="F49" s="304"/>
      <c r="H49" s="288"/>
    </row>
    <row r="50" spans="1:12" ht="18.75" x14ac:dyDescent="0.3">
      <c r="C50" s="260" t="s">
        <v>82</v>
      </c>
      <c r="D50" s="307">
        <f>AVERAGE(E38:E41,G38:G41)</f>
        <v>14429644.999627395</v>
      </c>
      <c r="F50" s="308"/>
      <c r="H50" s="288"/>
    </row>
    <row r="51" spans="1:12" ht="18.75" x14ac:dyDescent="0.3">
      <c r="C51" s="262" t="s">
        <v>83</v>
      </c>
      <c r="D51" s="309">
        <f>STDEV(E38:E41,G38:G41)/D50</f>
        <v>1.0445925087919186E-2</v>
      </c>
      <c r="F51" s="308"/>
      <c r="H51" s="288"/>
    </row>
    <row r="52" spans="1:12" ht="19.5" customHeight="1" x14ac:dyDescent="0.3">
      <c r="C52" s="310" t="s">
        <v>20</v>
      </c>
      <c r="D52" s="311">
        <f>COUNT(E38:E41,G38:G41)</f>
        <v>6</v>
      </c>
      <c r="F52" s="308"/>
    </row>
    <row r="54" spans="1:12" ht="18.75" x14ac:dyDescent="0.3">
      <c r="A54" s="312" t="s">
        <v>1</v>
      </c>
      <c r="B54" s="313" t="s">
        <v>84</v>
      </c>
    </row>
    <row r="55" spans="1:12" ht="18.75" x14ac:dyDescent="0.3">
      <c r="A55" s="237" t="s">
        <v>85</v>
      </c>
      <c r="B55" s="314" t="str">
        <f>B21</f>
        <v>Each film coated tablets contains lopinavir USP 200 mg ritonavir USP 50 mg</v>
      </c>
    </row>
    <row r="56" spans="1:12" ht="26.25" customHeight="1" x14ac:dyDescent="0.4">
      <c r="A56" s="315" t="s">
        <v>86</v>
      </c>
      <c r="B56" s="316">
        <v>50</v>
      </c>
      <c r="C56" s="237" t="str">
        <f>B20</f>
        <v xml:space="preserve"> Ritonavir USP 50 mg</v>
      </c>
      <c r="H56" s="317"/>
    </row>
    <row r="57" spans="1:12" ht="18.75" x14ac:dyDescent="0.3">
      <c r="A57" s="314" t="s">
        <v>87</v>
      </c>
      <c r="B57" s="385">
        <f>Uniformity!C46</f>
        <v>1256.9815000000001</v>
      </c>
      <c r="H57" s="317"/>
    </row>
    <row r="58" spans="1:12" ht="19.5" customHeight="1" x14ac:dyDescent="0.3">
      <c r="H58" s="317"/>
    </row>
    <row r="59" spans="1:12" s="3" customFormat="1" ht="27" customHeight="1" x14ac:dyDescent="0.4">
      <c r="A59" s="260" t="s">
        <v>88</v>
      </c>
      <c r="B59" s="261">
        <v>200</v>
      </c>
      <c r="C59" s="237"/>
      <c r="D59" s="318" t="s">
        <v>89</v>
      </c>
      <c r="E59" s="319" t="s">
        <v>61</v>
      </c>
      <c r="F59" s="319" t="s">
        <v>62</v>
      </c>
      <c r="G59" s="319" t="s">
        <v>90</v>
      </c>
      <c r="H59" s="264" t="s">
        <v>91</v>
      </c>
      <c r="L59" s="250"/>
    </row>
    <row r="60" spans="1:12" s="3" customFormat="1" ht="26.25" customHeight="1" x14ac:dyDescent="0.4">
      <c r="A60" s="262" t="s">
        <v>92</v>
      </c>
      <c r="B60" s="263">
        <v>1</v>
      </c>
      <c r="C60" s="501" t="s">
        <v>93</v>
      </c>
      <c r="D60" s="504">
        <v>1264.06</v>
      </c>
      <c r="E60" s="320">
        <v>1</v>
      </c>
      <c r="F60" s="321">
        <v>15327673</v>
      </c>
      <c r="G60" s="386">
        <f>IF(ISBLANK(F60),"-",(F60/$D$50*$D$47*$B$68)*($B$57/$D$60))</f>
        <v>52.814330821271426</v>
      </c>
      <c r="H60" s="404">
        <f t="shared" ref="H60:H71" si="0">IF(ISBLANK(F60),"-",(G60/$B$56)*100)</f>
        <v>105.62866164254285</v>
      </c>
      <c r="L60" s="250"/>
    </row>
    <row r="61" spans="1:12" s="3" customFormat="1" ht="26.25" customHeight="1" x14ac:dyDescent="0.4">
      <c r="A61" s="262" t="s">
        <v>94</v>
      </c>
      <c r="B61" s="263">
        <v>1</v>
      </c>
      <c r="C61" s="502"/>
      <c r="D61" s="505"/>
      <c r="E61" s="322">
        <v>2</v>
      </c>
      <c r="F61" s="275">
        <v>15230670</v>
      </c>
      <c r="G61" s="387">
        <f>IF(ISBLANK(F61),"-",(F61/$D$50*$D$47*$B$68)*($B$57/$D$60))</f>
        <v>52.480089052631421</v>
      </c>
      <c r="H61" s="405">
        <f t="shared" si="0"/>
        <v>104.96017810526284</v>
      </c>
      <c r="L61" s="250"/>
    </row>
    <row r="62" spans="1:12" s="3" customFormat="1" ht="26.25" customHeight="1" x14ac:dyDescent="0.4">
      <c r="A62" s="262" t="s">
        <v>95</v>
      </c>
      <c r="B62" s="263">
        <v>1</v>
      </c>
      <c r="C62" s="502"/>
      <c r="D62" s="505"/>
      <c r="E62" s="322">
        <v>3</v>
      </c>
      <c r="F62" s="323">
        <v>15220567</v>
      </c>
      <c r="G62" s="387">
        <f>IF(ISBLANK(F62),"-",(F62/$D$50*$D$47*$B$68)*($B$57/$D$60))</f>
        <v>52.445277298473613</v>
      </c>
      <c r="H62" s="405">
        <f t="shared" si="0"/>
        <v>104.89055459694723</v>
      </c>
      <c r="L62" s="250"/>
    </row>
    <row r="63" spans="1:12" ht="27" customHeight="1" x14ac:dyDescent="0.4">
      <c r="A63" s="262" t="s">
        <v>96</v>
      </c>
      <c r="B63" s="263">
        <v>1</v>
      </c>
      <c r="C63" s="503"/>
      <c r="D63" s="506"/>
      <c r="E63" s="324">
        <v>4</v>
      </c>
      <c r="F63" s="325"/>
      <c r="G63" s="387" t="str">
        <f>IF(ISBLANK(F63),"-",(F63/$D$50*$D$47*$B$68)*($B$57/$D$60))</f>
        <v>-</v>
      </c>
      <c r="H63" s="405" t="str">
        <f t="shared" si="0"/>
        <v>-</v>
      </c>
    </row>
    <row r="64" spans="1:12" ht="26.25" customHeight="1" x14ac:dyDescent="0.4">
      <c r="A64" s="262" t="s">
        <v>97</v>
      </c>
      <c r="B64" s="263">
        <v>1</v>
      </c>
      <c r="C64" s="501" t="s">
        <v>98</v>
      </c>
      <c r="D64" s="504">
        <v>1242.1400000000001</v>
      </c>
      <c r="E64" s="320">
        <v>1</v>
      </c>
      <c r="F64" s="321" t="s">
        <v>137</v>
      </c>
      <c r="G64" s="386" t="e">
        <f>IF(ISBLANK(F64),"-",(F64/$D$50*$D$47*$B$68)*($B$57/$D$64))</f>
        <v>#VALUE!</v>
      </c>
      <c r="H64" s="404" t="e">
        <f t="shared" si="0"/>
        <v>#VALUE!</v>
      </c>
    </row>
    <row r="65" spans="1:8" ht="26.25" customHeight="1" x14ac:dyDescent="0.4">
      <c r="A65" s="262" t="s">
        <v>99</v>
      </c>
      <c r="B65" s="263">
        <v>1</v>
      </c>
      <c r="C65" s="502"/>
      <c r="D65" s="505"/>
      <c r="E65" s="322">
        <v>2</v>
      </c>
      <c r="F65" s="275"/>
      <c r="G65" s="387" t="str">
        <f>IF(ISBLANK(F65),"-",(F65/$D$50*$D$47*$B$68)*($B$57/$D$64))</f>
        <v>-</v>
      </c>
      <c r="H65" s="405" t="str">
        <f t="shared" si="0"/>
        <v>-</v>
      </c>
    </row>
    <row r="66" spans="1:8" ht="26.25" customHeight="1" x14ac:dyDescent="0.4">
      <c r="A66" s="262" t="s">
        <v>100</v>
      </c>
      <c r="B66" s="263">
        <v>1</v>
      </c>
      <c r="C66" s="502"/>
      <c r="D66" s="505"/>
      <c r="E66" s="322">
        <v>3</v>
      </c>
      <c r="F66" s="275">
        <v>15283063</v>
      </c>
      <c r="G66" s="387">
        <f>IF(ISBLANK(F66),"-",(F66/$D$50*$D$47*$B$68)*($B$57/$D$64))</f>
        <v>53.589918869927608</v>
      </c>
      <c r="H66" s="405">
        <f t="shared" si="0"/>
        <v>107.17983773985522</v>
      </c>
    </row>
    <row r="67" spans="1:8" ht="27" customHeight="1" x14ac:dyDescent="0.4">
      <c r="A67" s="262" t="s">
        <v>101</v>
      </c>
      <c r="B67" s="263">
        <v>1</v>
      </c>
      <c r="C67" s="503"/>
      <c r="D67" s="506"/>
      <c r="E67" s="324">
        <v>4</v>
      </c>
      <c r="F67" s="325"/>
      <c r="G67" s="403" t="str">
        <f>IF(ISBLANK(F67),"-",(F67/$D$50*$D$47*$B$68)*($B$57/$D$64))</f>
        <v>-</v>
      </c>
      <c r="H67" s="406" t="str">
        <f t="shared" si="0"/>
        <v>-</v>
      </c>
    </row>
    <row r="68" spans="1:8" ht="26.25" customHeight="1" x14ac:dyDescent="0.4">
      <c r="A68" s="262" t="s">
        <v>102</v>
      </c>
      <c r="B68" s="326">
        <f>(B67/B66)*(B65/B64)*(B63/B62)*(B61/B60)*B59</f>
        <v>200</v>
      </c>
      <c r="C68" s="501" t="s">
        <v>103</v>
      </c>
      <c r="D68" s="504">
        <v>1250.58</v>
      </c>
      <c r="E68" s="320">
        <v>1</v>
      </c>
      <c r="F68" s="321">
        <v>15214960</v>
      </c>
      <c r="G68" s="386">
        <f>IF(ISBLANK(F68),"-",(F68/$D$50*$D$47*$B$68)*($B$57/$D$68))</f>
        <v>52.991056661362322</v>
      </c>
      <c r="H68" s="405">
        <f t="shared" si="0"/>
        <v>105.98211332272464</v>
      </c>
    </row>
    <row r="69" spans="1:8" ht="27" customHeight="1" x14ac:dyDescent="0.4">
      <c r="A69" s="310" t="s">
        <v>104</v>
      </c>
      <c r="B69" s="327">
        <f>(D47*B68)/B56*B57</f>
        <v>1256.9815000000001</v>
      </c>
      <c r="C69" s="502"/>
      <c r="D69" s="505"/>
      <c r="E69" s="322">
        <v>2</v>
      </c>
      <c r="F69" s="275">
        <v>15203862</v>
      </c>
      <c r="G69" s="387">
        <f>IF(ISBLANK(F69),"-",(F69/$D$50*$D$47*$B$68)*($B$57/$D$68))</f>
        <v>52.952404259592768</v>
      </c>
      <c r="H69" s="405">
        <f t="shared" si="0"/>
        <v>105.90480851918554</v>
      </c>
    </row>
    <row r="70" spans="1:8" ht="26.25" customHeight="1" x14ac:dyDescent="0.4">
      <c r="A70" s="514" t="s">
        <v>77</v>
      </c>
      <c r="B70" s="515"/>
      <c r="C70" s="502"/>
      <c r="D70" s="505"/>
      <c r="E70" s="322">
        <v>3</v>
      </c>
      <c r="F70" s="275">
        <v>15258670</v>
      </c>
      <c r="G70" s="387">
        <f>IF(ISBLANK(F70),"-",(F70/$D$50*$D$47*$B$68)*($B$57/$D$68))</f>
        <v>53.143290981180989</v>
      </c>
      <c r="H70" s="405">
        <f t="shared" si="0"/>
        <v>106.28658196236198</v>
      </c>
    </row>
    <row r="71" spans="1:8" ht="27" customHeight="1" x14ac:dyDescent="0.4">
      <c r="A71" s="516"/>
      <c r="B71" s="517"/>
      <c r="C71" s="513"/>
      <c r="D71" s="506"/>
      <c r="E71" s="324">
        <v>4</v>
      </c>
      <c r="F71" s="325"/>
      <c r="G71" s="403" t="str">
        <f>IF(ISBLANK(F71),"-",(F71/$D$50*$D$47*$B$68)*($B$57/$D$68))</f>
        <v>-</v>
      </c>
      <c r="H71" s="406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70</v>
      </c>
      <c r="G72" s="392" t="e">
        <f>AVERAGE(G60:G71)</f>
        <v>#VALUE!</v>
      </c>
      <c r="H72" s="407" t="e">
        <f>AVERAGE(H60:H71)</f>
        <v>#VALUE!</v>
      </c>
    </row>
    <row r="73" spans="1:8" ht="26.25" customHeight="1" x14ac:dyDescent="0.4">
      <c r="C73" s="328"/>
      <c r="D73" s="328"/>
      <c r="E73" s="328"/>
      <c r="F73" s="331" t="s">
        <v>83</v>
      </c>
      <c r="G73" s="391" t="e">
        <f>STDEV(G60:G71)/G72</f>
        <v>#VALUE!</v>
      </c>
      <c r="H73" s="391" t="e">
        <f>STDEV(H60:H71)/H72</f>
        <v>#VALUE!</v>
      </c>
    </row>
    <row r="74" spans="1:8" ht="27" customHeight="1" x14ac:dyDescent="0.4">
      <c r="A74" s="328"/>
      <c r="B74" s="328"/>
      <c r="C74" s="329"/>
      <c r="D74" s="329"/>
      <c r="E74" s="332"/>
      <c r="F74" s="333" t="s">
        <v>20</v>
      </c>
      <c r="G74" s="334">
        <f>COUNT(G60:G71)</f>
        <v>7</v>
      </c>
      <c r="H74" s="334">
        <f>COUNT(H60:H71)</f>
        <v>7</v>
      </c>
    </row>
    <row r="76" spans="1:8" ht="26.25" customHeight="1" x14ac:dyDescent="0.4">
      <c r="A76" s="246" t="s">
        <v>105</v>
      </c>
      <c r="B76" s="335" t="s">
        <v>106</v>
      </c>
      <c r="C76" s="509" t="str">
        <f>B26</f>
        <v>RITONAVIR</v>
      </c>
      <c r="D76" s="509"/>
      <c r="E76" s="336" t="s">
        <v>107</v>
      </c>
      <c r="F76" s="336"/>
      <c r="G76" s="337" t="e">
        <f>H72</f>
        <v>#VALUE!</v>
      </c>
      <c r="H76" s="338"/>
    </row>
    <row r="77" spans="1:8" ht="18.75" x14ac:dyDescent="0.3">
      <c r="A77" s="245" t="s">
        <v>108</v>
      </c>
      <c r="B77" s="245" t="s">
        <v>109</v>
      </c>
    </row>
    <row r="78" spans="1:8" ht="18.75" x14ac:dyDescent="0.3">
      <c r="A78" s="245"/>
      <c r="B78" s="245"/>
    </row>
    <row r="79" spans="1:8" ht="26.25" customHeight="1" x14ac:dyDescent="0.4">
      <c r="A79" s="246" t="s">
        <v>4</v>
      </c>
      <c r="B79" s="495" t="str">
        <f>B26</f>
        <v>RITONAVIR</v>
      </c>
      <c r="C79" s="495"/>
    </row>
    <row r="80" spans="1:8" ht="26.25" customHeight="1" x14ac:dyDescent="0.4">
      <c r="A80" s="247" t="s">
        <v>47</v>
      </c>
      <c r="B80" s="495" t="str">
        <f>B27</f>
        <v>R14 2</v>
      </c>
      <c r="C80" s="495"/>
    </row>
    <row r="81" spans="1:12" ht="27" customHeight="1" x14ac:dyDescent="0.4">
      <c r="A81" s="247" t="s">
        <v>6</v>
      </c>
      <c r="B81" s="339">
        <f>B28</f>
        <v>99.4</v>
      </c>
    </row>
    <row r="82" spans="1:12" s="3" customFormat="1" ht="27" customHeight="1" x14ac:dyDescent="0.4">
      <c r="A82" s="247" t="s">
        <v>48</v>
      </c>
      <c r="B82" s="249">
        <v>0</v>
      </c>
      <c r="C82" s="486" t="s">
        <v>49</v>
      </c>
      <c r="D82" s="487"/>
      <c r="E82" s="487"/>
      <c r="F82" s="487"/>
      <c r="G82" s="488"/>
      <c r="I82" s="250"/>
      <c r="J82" s="250"/>
      <c r="K82" s="250"/>
      <c r="L82" s="250"/>
    </row>
    <row r="83" spans="1:12" s="3" customFormat="1" ht="19.5" customHeight="1" x14ac:dyDescent="0.3">
      <c r="A83" s="247" t="s">
        <v>50</v>
      </c>
      <c r="B83" s="251">
        <f>B81-B82</f>
        <v>99.4</v>
      </c>
      <c r="C83" s="252"/>
      <c r="D83" s="252"/>
      <c r="E83" s="252"/>
      <c r="F83" s="252"/>
      <c r="G83" s="253"/>
      <c r="I83" s="250"/>
      <c r="J83" s="250"/>
      <c r="K83" s="250"/>
      <c r="L83" s="250"/>
    </row>
    <row r="84" spans="1:12" s="3" customFormat="1" ht="27" customHeight="1" x14ac:dyDescent="0.4">
      <c r="A84" s="247" t="s">
        <v>51</v>
      </c>
      <c r="B84" s="254">
        <v>1</v>
      </c>
      <c r="C84" s="489" t="s">
        <v>110</v>
      </c>
      <c r="D84" s="490"/>
      <c r="E84" s="490"/>
      <c r="F84" s="490"/>
      <c r="G84" s="490"/>
      <c r="H84" s="491"/>
      <c r="I84" s="250"/>
      <c r="J84" s="250"/>
      <c r="K84" s="250"/>
      <c r="L84" s="250"/>
    </row>
    <row r="85" spans="1:12" s="3" customFormat="1" ht="27" customHeight="1" x14ac:dyDescent="0.4">
      <c r="A85" s="247" t="s">
        <v>53</v>
      </c>
      <c r="B85" s="254">
        <v>1</v>
      </c>
      <c r="C85" s="489" t="s">
        <v>111</v>
      </c>
      <c r="D85" s="490"/>
      <c r="E85" s="490"/>
      <c r="F85" s="490"/>
      <c r="G85" s="490"/>
      <c r="H85" s="491"/>
      <c r="I85" s="250"/>
      <c r="J85" s="250"/>
      <c r="K85" s="250"/>
      <c r="L85" s="250"/>
    </row>
    <row r="86" spans="1:12" s="3" customFormat="1" ht="18.75" x14ac:dyDescent="0.3">
      <c r="A86" s="247"/>
      <c r="B86" s="257"/>
      <c r="C86" s="258"/>
      <c r="D86" s="258"/>
      <c r="E86" s="258"/>
      <c r="F86" s="258"/>
      <c r="G86" s="258"/>
      <c r="H86" s="258"/>
      <c r="I86" s="250"/>
      <c r="J86" s="250"/>
      <c r="K86" s="250"/>
      <c r="L86" s="250"/>
    </row>
    <row r="87" spans="1:12" s="3" customFormat="1" ht="18.75" x14ac:dyDescent="0.3">
      <c r="A87" s="247" t="s">
        <v>55</v>
      </c>
      <c r="B87" s="259">
        <f>B84/B85</f>
        <v>1</v>
      </c>
      <c r="C87" s="237" t="s">
        <v>56</v>
      </c>
      <c r="D87" s="237"/>
      <c r="E87" s="237"/>
      <c r="F87" s="237"/>
      <c r="G87" s="237"/>
      <c r="I87" s="250"/>
      <c r="J87" s="250"/>
      <c r="K87" s="250"/>
      <c r="L87" s="250"/>
    </row>
    <row r="88" spans="1:12" ht="19.5" customHeight="1" x14ac:dyDescent="0.3">
      <c r="A88" s="245"/>
      <c r="B88" s="245"/>
    </row>
    <row r="89" spans="1:12" ht="27" customHeight="1" x14ac:dyDescent="0.4">
      <c r="A89" s="260" t="s">
        <v>57</v>
      </c>
      <c r="B89" s="261">
        <v>25</v>
      </c>
      <c r="D89" s="340" t="s">
        <v>58</v>
      </c>
      <c r="E89" s="341"/>
      <c r="F89" s="492" t="s">
        <v>59</v>
      </c>
      <c r="G89" s="494"/>
    </row>
    <row r="90" spans="1:12" ht="27" customHeight="1" x14ac:dyDescent="0.4">
      <c r="A90" s="262" t="s">
        <v>60</v>
      </c>
      <c r="B90" s="263">
        <v>10</v>
      </c>
      <c r="C90" s="342" t="s">
        <v>61</v>
      </c>
      <c r="D90" s="265" t="s">
        <v>62</v>
      </c>
      <c r="E90" s="266" t="s">
        <v>63</v>
      </c>
      <c r="F90" s="265" t="s">
        <v>62</v>
      </c>
      <c r="G90" s="343" t="s">
        <v>63</v>
      </c>
      <c r="I90" s="268" t="s">
        <v>64</v>
      </c>
    </row>
    <row r="91" spans="1:12" ht="26.25" customHeight="1" x14ac:dyDescent="0.4">
      <c r="A91" s="262" t="s">
        <v>65</v>
      </c>
      <c r="B91" s="263">
        <v>20</v>
      </c>
      <c r="C91" s="344">
        <v>1</v>
      </c>
      <c r="D91" s="270">
        <v>2687177</v>
      </c>
      <c r="E91" s="271">
        <f>IF(ISBLANK(D91),"-",$D$101/$D$98*D91)</f>
        <v>3364443.1803885833</v>
      </c>
      <c r="F91" s="270">
        <v>2901093</v>
      </c>
      <c r="G91" s="272">
        <f>IF(ISBLANK(F91),"-",$D$101/$F$98*F91)</f>
        <v>3269046.4020683235</v>
      </c>
      <c r="I91" s="273"/>
    </row>
    <row r="92" spans="1:12" ht="26.25" customHeight="1" x14ac:dyDescent="0.4">
      <c r="A92" s="262" t="s">
        <v>66</v>
      </c>
      <c r="B92" s="263">
        <v>2</v>
      </c>
      <c r="C92" s="329">
        <v>2</v>
      </c>
      <c r="D92" s="275">
        <v>2683142</v>
      </c>
      <c r="E92" s="276">
        <f>IF(ISBLANK(D92),"-",$D$101/$D$98*D92)</f>
        <v>3359391.213870238</v>
      </c>
      <c r="F92" s="275">
        <v>2899312</v>
      </c>
      <c r="G92" s="277">
        <f>IF(ISBLANK(F92),"-",$D$101/$F$98*F92)</f>
        <v>3267039.5130640469</v>
      </c>
      <c r="I92" s="496">
        <f>ABS((F96/D96*D95)-F95)/D95</f>
        <v>2.9994217206888461E-2</v>
      </c>
    </row>
    <row r="93" spans="1:12" ht="26.25" customHeight="1" x14ac:dyDescent="0.4">
      <c r="A93" s="262" t="s">
        <v>67</v>
      </c>
      <c r="B93" s="263">
        <v>10</v>
      </c>
      <c r="C93" s="329">
        <v>3</v>
      </c>
      <c r="D93" s="275">
        <v>2679040</v>
      </c>
      <c r="E93" s="276">
        <f>IF(ISBLANK(D93),"-",$D$101/$D$98*D93)</f>
        <v>3354255.3609189983</v>
      </c>
      <c r="F93" s="275">
        <v>2901893</v>
      </c>
      <c r="G93" s="277">
        <f>IF(ISBLANK(F93),"-",$D$101/$F$98*F93)</f>
        <v>3269947.868212861</v>
      </c>
      <c r="I93" s="496"/>
    </row>
    <row r="94" spans="1:12" ht="27" customHeight="1" x14ac:dyDescent="0.4">
      <c r="A94" s="262" t="s">
        <v>68</v>
      </c>
      <c r="B94" s="263">
        <v>1</v>
      </c>
      <c r="C94" s="345">
        <v>4</v>
      </c>
      <c r="D94" s="280"/>
      <c r="E94" s="281" t="str">
        <f>IF(ISBLANK(D94),"-",$D$101/$D$98*D94)</f>
        <v>-</v>
      </c>
      <c r="F94" s="346"/>
      <c r="G94" s="282" t="str">
        <f>IF(ISBLANK(F94),"-",$D$101/$F$98*F94)</f>
        <v>-</v>
      </c>
      <c r="I94" s="283"/>
    </row>
    <row r="95" spans="1:12" ht="27" customHeight="1" x14ac:dyDescent="0.4">
      <c r="A95" s="262" t="s">
        <v>69</v>
      </c>
      <c r="B95" s="263">
        <v>1</v>
      </c>
      <c r="C95" s="347" t="s">
        <v>70</v>
      </c>
      <c r="D95" s="348">
        <f>AVERAGE(D91:D94)</f>
        <v>2683119.6666666665</v>
      </c>
      <c r="E95" s="286">
        <f>AVERAGE(E91:E94)</f>
        <v>3359363.25172594</v>
      </c>
      <c r="F95" s="349">
        <f>AVERAGE(F91:F94)</f>
        <v>2900766</v>
      </c>
      <c r="G95" s="350">
        <f>AVERAGE(G91:G94)</f>
        <v>3268677.9277817435</v>
      </c>
    </row>
    <row r="96" spans="1:12" ht="26.25" customHeight="1" x14ac:dyDescent="0.4">
      <c r="A96" s="262" t="s">
        <v>71</v>
      </c>
      <c r="B96" s="248">
        <v>1</v>
      </c>
      <c r="C96" s="351" t="s">
        <v>112</v>
      </c>
      <c r="D96" s="352">
        <v>11.16</v>
      </c>
      <c r="E96" s="278"/>
      <c r="F96" s="290">
        <v>12.4</v>
      </c>
    </row>
    <row r="97" spans="1:10" ht="26.25" customHeight="1" x14ac:dyDescent="0.4">
      <c r="A97" s="262" t="s">
        <v>73</v>
      </c>
      <c r="B97" s="248">
        <v>1</v>
      </c>
      <c r="C97" s="353" t="s">
        <v>113</v>
      </c>
      <c r="D97" s="354">
        <f>D96*$B$87</f>
        <v>11.16</v>
      </c>
      <c r="E97" s="293"/>
      <c r="F97" s="292">
        <f>F96*$B$87</f>
        <v>12.4</v>
      </c>
    </row>
    <row r="98" spans="1:10" ht="19.5" customHeight="1" x14ac:dyDescent="0.3">
      <c r="A98" s="262" t="s">
        <v>75</v>
      </c>
      <c r="B98" s="355">
        <f>(B97/B96)*(B95/B94)*(B93/B92)*(B91/B90)*B89</f>
        <v>250</v>
      </c>
      <c r="C98" s="353" t="s">
        <v>114</v>
      </c>
      <c r="D98" s="356">
        <f>D97*$B$83/100</f>
        <v>11.09304</v>
      </c>
      <c r="E98" s="296"/>
      <c r="F98" s="295">
        <f>F97*$B$83/100</f>
        <v>12.325600000000001</v>
      </c>
    </row>
    <row r="99" spans="1:10" ht="19.5" customHeight="1" x14ac:dyDescent="0.3">
      <c r="A99" s="497" t="s">
        <v>77</v>
      </c>
      <c r="B99" s="511"/>
      <c r="C99" s="353" t="s">
        <v>115</v>
      </c>
      <c r="D99" s="357">
        <f>D98/$B$98</f>
        <v>4.4372160000000001E-2</v>
      </c>
      <c r="E99" s="296"/>
      <c r="F99" s="299">
        <f>F98/$B$98</f>
        <v>4.9302400000000003E-2</v>
      </c>
      <c r="G99" s="358"/>
      <c r="H99" s="288"/>
    </row>
    <row r="100" spans="1:10" ht="19.5" customHeight="1" x14ac:dyDescent="0.3">
      <c r="A100" s="499"/>
      <c r="B100" s="512"/>
      <c r="C100" s="353" t="s">
        <v>79</v>
      </c>
      <c r="D100" s="359">
        <f>$B$56/$B$116</f>
        <v>5.5555555555555552E-2</v>
      </c>
      <c r="F100" s="304"/>
      <c r="G100" s="360"/>
      <c r="H100" s="288"/>
    </row>
    <row r="101" spans="1:10" ht="18.75" x14ac:dyDescent="0.3">
      <c r="C101" s="353" t="s">
        <v>80</v>
      </c>
      <c r="D101" s="354">
        <f>D100*$B$98</f>
        <v>13.888888888888888</v>
      </c>
      <c r="F101" s="304"/>
      <c r="G101" s="358"/>
      <c r="H101" s="288"/>
    </row>
    <row r="102" spans="1:10" ht="19.5" customHeight="1" x14ac:dyDescent="0.3">
      <c r="C102" s="361" t="s">
        <v>81</v>
      </c>
      <c r="D102" s="362">
        <f>D101/B34</f>
        <v>13.888888888888888</v>
      </c>
      <c r="F102" s="308"/>
      <c r="G102" s="358"/>
      <c r="H102" s="288"/>
      <c r="J102" s="363"/>
    </row>
    <row r="103" spans="1:10" ht="18.75" x14ac:dyDescent="0.3">
      <c r="C103" s="364" t="s">
        <v>116</v>
      </c>
      <c r="D103" s="365">
        <f>AVERAGE(E91:E94,G91:G94)</f>
        <v>3314020.589753842</v>
      </c>
      <c r="F103" s="308"/>
      <c r="G103" s="366"/>
      <c r="H103" s="288"/>
      <c r="J103" s="367"/>
    </row>
    <row r="104" spans="1:10" ht="18.75" x14ac:dyDescent="0.3">
      <c r="C104" s="331" t="s">
        <v>83</v>
      </c>
      <c r="D104" s="368">
        <f>STDEV(E91:E94,G91:G94)/D103</f>
        <v>1.5022138362637674E-2</v>
      </c>
      <c r="F104" s="308"/>
      <c r="G104" s="358"/>
      <c r="H104" s="288"/>
      <c r="J104" s="367"/>
    </row>
    <row r="105" spans="1:10" ht="19.5" customHeight="1" x14ac:dyDescent="0.3">
      <c r="C105" s="333" t="s">
        <v>20</v>
      </c>
      <c r="D105" s="369">
        <f>COUNT(E91:E94,G91:G94)</f>
        <v>6</v>
      </c>
      <c r="F105" s="308"/>
      <c r="G105" s="358"/>
      <c r="H105" s="288"/>
      <c r="J105" s="367"/>
    </row>
    <row r="106" spans="1:10" ht="19.5" customHeight="1" x14ac:dyDescent="0.3">
      <c r="A106" s="312"/>
      <c r="B106" s="312"/>
      <c r="C106" s="312"/>
      <c r="D106" s="312"/>
      <c r="E106" s="312"/>
    </row>
    <row r="107" spans="1:10" ht="27" customHeight="1" x14ac:dyDescent="0.4">
      <c r="A107" s="260" t="s">
        <v>117</v>
      </c>
      <c r="B107" s="261">
        <v>900</v>
      </c>
      <c r="C107" s="408" t="s">
        <v>118</v>
      </c>
      <c r="D107" s="408" t="s">
        <v>62</v>
      </c>
      <c r="E107" s="408" t="s">
        <v>119</v>
      </c>
      <c r="F107" s="370" t="s">
        <v>120</v>
      </c>
    </row>
    <row r="108" spans="1:10" ht="26.25" customHeight="1" x14ac:dyDescent="0.4">
      <c r="A108" s="262" t="s">
        <v>121</v>
      </c>
      <c r="B108" s="263">
        <v>1</v>
      </c>
      <c r="C108" s="413">
        <v>1</v>
      </c>
      <c r="D108" s="414">
        <v>3394642</v>
      </c>
      <c r="E108" s="388">
        <f t="shared" ref="E108:E113" si="1">IF(ISBLANK(D108),"-",D108/$D$103*$D$100*$B$116)</f>
        <v>51.216368578026035</v>
      </c>
      <c r="F108" s="415">
        <f t="shared" ref="F108:F113" si="2">IF(ISBLANK(D108), "-", (E108/$B$56)*100)</f>
        <v>102.43273715605208</v>
      </c>
    </row>
    <row r="109" spans="1:10" ht="26.25" customHeight="1" x14ac:dyDescent="0.4">
      <c r="A109" s="262" t="s">
        <v>94</v>
      </c>
      <c r="B109" s="263">
        <v>1</v>
      </c>
      <c r="C109" s="409">
        <v>2</v>
      </c>
      <c r="D109" s="411">
        <v>3238538</v>
      </c>
      <c r="E109" s="389">
        <f t="shared" si="1"/>
        <v>48.861162933217493</v>
      </c>
      <c r="F109" s="416">
        <f t="shared" si="2"/>
        <v>97.722325866434986</v>
      </c>
    </row>
    <row r="110" spans="1:10" ht="26.25" customHeight="1" x14ac:dyDescent="0.4">
      <c r="A110" s="262" t="s">
        <v>95</v>
      </c>
      <c r="B110" s="263">
        <v>1</v>
      </c>
      <c r="C110" s="409">
        <v>3</v>
      </c>
      <c r="D110" s="411">
        <v>3259790</v>
      </c>
      <c r="E110" s="389">
        <f t="shared" si="1"/>
        <v>49.181800651427601</v>
      </c>
      <c r="F110" s="416">
        <f t="shared" si="2"/>
        <v>98.363601302855201</v>
      </c>
    </row>
    <row r="111" spans="1:10" ht="26.25" customHeight="1" x14ac:dyDescent="0.4">
      <c r="A111" s="262" t="s">
        <v>96</v>
      </c>
      <c r="B111" s="263">
        <v>1</v>
      </c>
      <c r="C111" s="409">
        <v>4</v>
      </c>
      <c r="D111" s="411">
        <v>3221488</v>
      </c>
      <c r="E111" s="389">
        <f t="shared" si="1"/>
        <v>48.603922527821176</v>
      </c>
      <c r="F111" s="416">
        <f t="shared" si="2"/>
        <v>97.207845055642352</v>
      </c>
    </row>
    <row r="112" spans="1:10" ht="26.25" customHeight="1" x14ac:dyDescent="0.4">
      <c r="A112" s="262" t="s">
        <v>97</v>
      </c>
      <c r="B112" s="263">
        <v>1</v>
      </c>
      <c r="C112" s="409">
        <v>5</v>
      </c>
      <c r="D112" s="411">
        <v>3380058</v>
      </c>
      <c r="E112" s="389">
        <f t="shared" si="1"/>
        <v>50.996333735075901</v>
      </c>
      <c r="F112" s="416">
        <f t="shared" si="2"/>
        <v>101.99266747015182</v>
      </c>
    </row>
    <row r="113" spans="1:10" ht="27" customHeight="1" x14ac:dyDescent="0.4">
      <c r="A113" s="262" t="s">
        <v>99</v>
      </c>
      <c r="B113" s="263">
        <v>1</v>
      </c>
      <c r="C113" s="410">
        <v>6</v>
      </c>
      <c r="D113" s="412">
        <v>3367187</v>
      </c>
      <c r="E113" s="390">
        <f t="shared" si="1"/>
        <v>50.802143631975845</v>
      </c>
      <c r="F113" s="417">
        <f t="shared" si="2"/>
        <v>101.6042872639517</v>
      </c>
    </row>
    <row r="114" spans="1:10" ht="27" customHeight="1" x14ac:dyDescent="0.4">
      <c r="A114" s="262" t="s">
        <v>100</v>
      </c>
      <c r="B114" s="263">
        <v>1</v>
      </c>
      <c r="C114" s="371"/>
      <c r="D114" s="329"/>
      <c r="E114" s="236"/>
      <c r="F114" s="418"/>
    </row>
    <row r="115" spans="1:10" ht="26.25" customHeight="1" x14ac:dyDescent="0.4">
      <c r="A115" s="262" t="s">
        <v>101</v>
      </c>
      <c r="B115" s="263">
        <v>1</v>
      </c>
      <c r="C115" s="371"/>
      <c r="D115" s="395" t="s">
        <v>70</v>
      </c>
      <c r="E115" s="397">
        <f>AVERAGE(E108:E113)</f>
        <v>49.943622009590676</v>
      </c>
      <c r="F115" s="419">
        <f>AVERAGE(F108:F113)</f>
        <v>99.887244019181367</v>
      </c>
    </row>
    <row r="116" spans="1:10" ht="27" customHeight="1" x14ac:dyDescent="0.4">
      <c r="A116" s="262" t="s">
        <v>102</v>
      </c>
      <c r="B116" s="294">
        <f>(B115/B114)*(B113/B112)*(B111/B110)*(B109/B108)*B107</f>
        <v>900</v>
      </c>
      <c r="C116" s="372"/>
      <c r="D116" s="396" t="s">
        <v>83</v>
      </c>
      <c r="E116" s="394">
        <f>STDEV(E108:E113)/E115</f>
        <v>2.3711379657864191E-2</v>
      </c>
      <c r="F116" s="373">
        <f>STDEV(F108:F113)/F115</f>
        <v>2.3711379657864264E-2</v>
      </c>
      <c r="I116" s="236"/>
    </row>
    <row r="117" spans="1:10" ht="27" customHeight="1" x14ac:dyDescent="0.4">
      <c r="A117" s="497" t="s">
        <v>77</v>
      </c>
      <c r="B117" s="498"/>
      <c r="C117" s="374"/>
      <c r="D117" s="333" t="s">
        <v>20</v>
      </c>
      <c r="E117" s="399">
        <f>COUNT(E108:E113)</f>
        <v>6</v>
      </c>
      <c r="F117" s="400">
        <f>COUNT(F108:F113)</f>
        <v>6</v>
      </c>
      <c r="I117" s="236"/>
      <c r="J117" s="367"/>
    </row>
    <row r="118" spans="1:10" ht="26.25" customHeight="1" x14ac:dyDescent="0.3">
      <c r="A118" s="499"/>
      <c r="B118" s="500"/>
      <c r="C118" s="236"/>
      <c r="D118" s="398"/>
      <c r="E118" s="477" t="s">
        <v>122</v>
      </c>
      <c r="F118" s="478"/>
      <c r="G118" s="236"/>
      <c r="H118" s="236"/>
      <c r="I118" s="236"/>
    </row>
    <row r="119" spans="1:10" ht="25.5" customHeight="1" x14ac:dyDescent="0.4">
      <c r="A119" s="383"/>
      <c r="B119" s="258"/>
      <c r="C119" s="236"/>
      <c r="D119" s="396" t="s">
        <v>123</v>
      </c>
      <c r="E119" s="401">
        <f>MIN(E108:E113)</f>
        <v>48.603922527821176</v>
      </c>
      <c r="F119" s="420">
        <f>MIN(F108:F113)</f>
        <v>97.207845055642352</v>
      </c>
      <c r="G119" s="236"/>
      <c r="H119" s="236"/>
      <c r="I119" s="236"/>
    </row>
    <row r="120" spans="1:10" ht="24" customHeight="1" x14ac:dyDescent="0.4">
      <c r="A120" s="383"/>
      <c r="B120" s="258"/>
      <c r="C120" s="236"/>
      <c r="D120" s="305" t="s">
        <v>124</v>
      </c>
      <c r="E120" s="402">
        <f>MAX(E108:E113)</f>
        <v>51.216368578026035</v>
      </c>
      <c r="F120" s="421">
        <f>MAX(F108:F113)</f>
        <v>102.43273715605208</v>
      </c>
      <c r="G120" s="236"/>
      <c r="H120" s="236"/>
      <c r="I120" s="236"/>
    </row>
    <row r="121" spans="1:10" ht="27" customHeight="1" x14ac:dyDescent="0.3">
      <c r="A121" s="383"/>
      <c r="B121" s="258"/>
      <c r="C121" s="236"/>
      <c r="D121" s="236"/>
      <c r="E121" s="236"/>
      <c r="F121" s="329"/>
      <c r="G121" s="236"/>
      <c r="H121" s="236"/>
      <c r="I121" s="236"/>
    </row>
    <row r="122" spans="1:10" ht="25.5" customHeight="1" x14ac:dyDescent="0.3">
      <c r="A122" s="383"/>
      <c r="B122" s="258"/>
      <c r="C122" s="236"/>
      <c r="D122" s="236"/>
      <c r="E122" s="236"/>
      <c r="F122" s="329"/>
      <c r="G122" s="236"/>
      <c r="H122" s="236"/>
      <c r="I122" s="236"/>
    </row>
    <row r="123" spans="1:10" ht="18.75" x14ac:dyDescent="0.3">
      <c r="A123" s="383"/>
      <c r="B123" s="258"/>
      <c r="C123" s="236"/>
      <c r="D123" s="236"/>
      <c r="E123" s="236"/>
      <c r="F123" s="329"/>
      <c r="G123" s="236"/>
      <c r="H123" s="236"/>
      <c r="I123" s="236"/>
    </row>
    <row r="124" spans="1:10" ht="45.75" customHeight="1" x14ac:dyDescent="0.65">
      <c r="A124" s="246" t="s">
        <v>105</v>
      </c>
      <c r="B124" s="335" t="s">
        <v>125</v>
      </c>
      <c r="C124" s="509" t="str">
        <f>B26</f>
        <v>RITONAVIR</v>
      </c>
      <c r="D124" s="509"/>
      <c r="E124" s="336" t="s">
        <v>126</v>
      </c>
      <c r="F124" s="336"/>
      <c r="G124" s="422">
        <f>F115</f>
        <v>99.887244019181367</v>
      </c>
      <c r="H124" s="236"/>
      <c r="I124" s="236"/>
    </row>
    <row r="125" spans="1:10" ht="45.75" customHeight="1" x14ac:dyDescent="0.65">
      <c r="A125" s="246"/>
      <c r="B125" s="335" t="s">
        <v>127</v>
      </c>
      <c r="C125" s="247" t="s">
        <v>128</v>
      </c>
      <c r="D125" s="422">
        <f>MIN(F108:F113)</f>
        <v>97.207845055642352</v>
      </c>
      <c r="E125" s="347" t="s">
        <v>129</v>
      </c>
      <c r="F125" s="422">
        <f>MAX(F108:F113)</f>
        <v>102.43273715605208</v>
      </c>
      <c r="G125" s="337"/>
      <c r="H125" s="236"/>
      <c r="I125" s="236"/>
    </row>
    <row r="126" spans="1:10" ht="19.5" customHeight="1" x14ac:dyDescent="0.3">
      <c r="A126" s="375"/>
      <c r="B126" s="375"/>
      <c r="C126" s="376"/>
      <c r="D126" s="376"/>
      <c r="E126" s="376"/>
      <c r="F126" s="376"/>
      <c r="G126" s="376"/>
      <c r="H126" s="376"/>
    </row>
    <row r="127" spans="1:10" ht="18.75" x14ac:dyDescent="0.3">
      <c r="B127" s="510" t="s">
        <v>25</v>
      </c>
      <c r="C127" s="510"/>
      <c r="E127" s="342" t="s">
        <v>26</v>
      </c>
      <c r="F127" s="377"/>
      <c r="G127" s="510" t="s">
        <v>27</v>
      </c>
      <c r="H127" s="510"/>
    </row>
    <row r="128" spans="1:10" ht="69.95" customHeight="1" x14ac:dyDescent="0.3">
      <c r="A128" s="378" t="s">
        <v>28</v>
      </c>
      <c r="B128" s="379"/>
      <c r="C128" s="379"/>
      <c r="E128" s="379"/>
      <c r="F128" s="236"/>
      <c r="G128" s="380"/>
      <c r="H128" s="380"/>
    </row>
    <row r="129" spans="1:9" ht="69.95" customHeight="1" x14ac:dyDescent="0.3">
      <c r="A129" s="378" t="s">
        <v>29</v>
      </c>
      <c r="B129" s="381"/>
      <c r="C129" s="381"/>
      <c r="E129" s="381"/>
      <c r="F129" s="236"/>
      <c r="G129" s="382"/>
      <c r="H129" s="382"/>
    </row>
    <row r="130" spans="1:9" ht="18.75" x14ac:dyDescent="0.3">
      <c r="A130" s="328"/>
      <c r="B130" s="328"/>
      <c r="C130" s="329"/>
      <c r="D130" s="329"/>
      <c r="E130" s="329"/>
      <c r="F130" s="332"/>
      <c r="G130" s="329"/>
      <c r="H130" s="329"/>
      <c r="I130" s="236"/>
    </row>
    <row r="131" spans="1:9" ht="18.75" x14ac:dyDescent="0.3">
      <c r="A131" s="328"/>
      <c r="B131" s="328"/>
      <c r="C131" s="329"/>
      <c r="D131" s="329"/>
      <c r="E131" s="329"/>
      <c r="F131" s="332"/>
      <c r="G131" s="329"/>
      <c r="H131" s="329"/>
      <c r="I131" s="236"/>
    </row>
    <row r="132" spans="1:9" ht="18.75" x14ac:dyDescent="0.3">
      <c r="A132" s="328"/>
      <c r="B132" s="328"/>
      <c r="C132" s="329"/>
      <c r="D132" s="329"/>
      <c r="E132" s="329"/>
      <c r="F132" s="332"/>
      <c r="G132" s="329"/>
      <c r="H132" s="329"/>
      <c r="I132" s="236"/>
    </row>
    <row r="133" spans="1:9" ht="18.75" x14ac:dyDescent="0.3">
      <c r="A133" s="328"/>
      <c r="B133" s="328"/>
      <c r="C133" s="329"/>
      <c r="D133" s="329"/>
      <c r="E133" s="329"/>
      <c r="F133" s="332"/>
      <c r="G133" s="329"/>
      <c r="H133" s="329"/>
      <c r="I133" s="236"/>
    </row>
    <row r="134" spans="1:9" ht="18.75" x14ac:dyDescent="0.3">
      <c r="A134" s="328"/>
      <c r="B134" s="328"/>
      <c r="C134" s="329"/>
      <c r="D134" s="329"/>
      <c r="E134" s="329"/>
      <c r="F134" s="332"/>
      <c r="G134" s="329"/>
      <c r="H134" s="329"/>
      <c r="I134" s="236"/>
    </row>
    <row r="135" spans="1:9" ht="18.75" x14ac:dyDescent="0.3">
      <c r="A135" s="328"/>
      <c r="B135" s="328"/>
      <c r="C135" s="329"/>
      <c r="D135" s="329"/>
      <c r="E135" s="329"/>
      <c r="F135" s="332"/>
      <c r="G135" s="329"/>
      <c r="H135" s="329"/>
      <c r="I135" s="236"/>
    </row>
    <row r="136" spans="1:9" ht="18.75" x14ac:dyDescent="0.3">
      <c r="A136" s="328"/>
      <c r="B136" s="328"/>
      <c r="C136" s="329"/>
      <c r="D136" s="329"/>
      <c r="E136" s="329"/>
      <c r="F136" s="332"/>
      <c r="G136" s="329"/>
      <c r="H136" s="329"/>
      <c r="I136" s="236"/>
    </row>
    <row r="137" spans="1:9" ht="18.75" x14ac:dyDescent="0.3">
      <c r="A137" s="328"/>
      <c r="B137" s="328"/>
      <c r="C137" s="329"/>
      <c r="D137" s="329"/>
      <c r="E137" s="329"/>
      <c r="F137" s="332"/>
      <c r="G137" s="329"/>
      <c r="H137" s="329"/>
      <c r="I137" s="236"/>
    </row>
    <row r="138" spans="1:9" ht="18.75" x14ac:dyDescent="0.3">
      <c r="A138" s="328"/>
      <c r="B138" s="328"/>
      <c r="C138" s="329"/>
      <c r="D138" s="329"/>
      <c r="E138" s="329"/>
      <c r="F138" s="332"/>
      <c r="G138" s="329"/>
      <c r="H138" s="329"/>
      <c r="I138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Uniformity</vt:lpstr>
      <vt:lpstr>SST</vt:lpstr>
      <vt:lpstr>Lopinavir</vt:lpstr>
      <vt:lpstr>Ritonavir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2017-03-30T09:27:33Z</dcterms:modified>
</cp:coreProperties>
</file>