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0">'SST Sulfamethoxazole'!$A$15:$H$61</definedName>
    <definedName name="_xlnm.Print_Area" localSheetId="1">'SST Trimethoprim'!$A$15:$G$61</definedName>
    <definedName name="_xlnm.Print_Area" localSheetId="3">Sulfamethoxazole!$A$1:$I$129</definedName>
    <definedName name="_xlnm.Print_Area" localSheetId="4">Trimethoprim!$A$1:$I$129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4" i="4"/>
  <c r="F42" i="4"/>
  <c r="D42" i="4"/>
  <c r="I39" i="4" s="1"/>
  <c r="B34" i="4"/>
  <c r="D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25" i="2"/>
  <c r="C19" i="2"/>
  <c r="D101" i="3" l="1"/>
  <c r="D102" i="3" s="1"/>
  <c r="I92" i="3"/>
  <c r="D97" i="3"/>
  <c r="D98" i="3" s="1"/>
  <c r="E91" i="3" s="1"/>
  <c r="I39" i="3"/>
  <c r="D49" i="3"/>
  <c r="D45" i="3"/>
  <c r="E40" i="3" s="1"/>
  <c r="I92" i="4"/>
  <c r="D101" i="4"/>
  <c r="D102" i="4" s="1"/>
  <c r="F45" i="4"/>
  <c r="F46" i="4" s="1"/>
  <c r="D45" i="4"/>
  <c r="D46" i="4" s="1"/>
  <c r="B69" i="4"/>
  <c r="D49" i="4"/>
  <c r="F98" i="4"/>
  <c r="F99" i="4" s="1"/>
  <c r="F98" i="3"/>
  <c r="G92" i="3" s="1"/>
  <c r="D27" i="2"/>
  <c r="D31" i="2"/>
  <c r="D35" i="2"/>
  <c r="D39" i="2"/>
  <c r="D43" i="2"/>
  <c r="C49" i="2"/>
  <c r="E39" i="3"/>
  <c r="F44" i="3"/>
  <c r="F45" i="3" s="1"/>
  <c r="D97" i="4"/>
  <c r="D98" i="4" s="1"/>
  <c r="D99" i="4" s="1"/>
  <c r="D33" i="2"/>
  <c r="D24" i="2"/>
  <c r="D28" i="2"/>
  <c r="D32" i="2"/>
  <c r="D36" i="2"/>
  <c r="D40" i="2"/>
  <c r="D49" i="2"/>
  <c r="B57" i="3"/>
  <c r="B69" i="3" s="1"/>
  <c r="G94" i="3"/>
  <c r="D29" i="2"/>
  <c r="D37" i="2"/>
  <c r="D41" i="2"/>
  <c r="C50" i="2"/>
  <c r="D26" i="2"/>
  <c r="D30" i="2"/>
  <c r="D34" i="2"/>
  <c r="D38" i="2"/>
  <c r="D42" i="2"/>
  <c r="B49" i="2"/>
  <c r="D50" i="2"/>
  <c r="G93" i="3" l="1"/>
  <c r="E41" i="3"/>
  <c r="E38" i="3"/>
  <c r="E42" i="3" s="1"/>
  <c r="D46" i="3"/>
  <c r="E94" i="3"/>
  <c r="G38" i="4"/>
  <c r="G40" i="4"/>
  <c r="G39" i="4"/>
  <c r="G41" i="4"/>
  <c r="E40" i="4"/>
  <c r="E41" i="4"/>
  <c r="E38" i="4"/>
  <c r="E39" i="4"/>
  <c r="G92" i="4"/>
  <c r="G91" i="4"/>
  <c r="E94" i="4"/>
  <c r="E92" i="4"/>
  <c r="G94" i="4"/>
  <c r="D99" i="3"/>
  <c r="E93" i="3"/>
  <c r="E92" i="3"/>
  <c r="E93" i="4"/>
  <c r="G41" i="3"/>
  <c r="F46" i="3"/>
  <c r="G38" i="3"/>
  <c r="G39" i="3"/>
  <c r="G40" i="3"/>
  <c r="F99" i="3"/>
  <c r="G91" i="3"/>
  <c r="G95" i="3" s="1"/>
  <c r="G93" i="4"/>
  <c r="E91" i="4"/>
  <c r="D103" i="3" l="1"/>
  <c r="E112" i="3" s="1"/>
  <c r="F112" i="3" s="1"/>
  <c r="D50" i="3"/>
  <c r="G66" i="3" s="1"/>
  <c r="H66" i="3" s="1"/>
  <c r="D52" i="3"/>
  <c r="D105" i="3"/>
  <c r="E95" i="3"/>
  <c r="G42" i="3"/>
  <c r="D50" i="4"/>
  <c r="G67" i="4" s="1"/>
  <c r="H67" i="4" s="1"/>
  <c r="E42" i="4"/>
  <c r="G42" i="4"/>
  <c r="D52" i="4"/>
  <c r="G95" i="4"/>
  <c r="D51" i="4"/>
  <c r="E95" i="4"/>
  <c r="D105" i="4"/>
  <c r="D103" i="4"/>
  <c r="D104" i="3" l="1"/>
  <c r="E113" i="3"/>
  <c r="F113" i="3" s="1"/>
  <c r="E108" i="3"/>
  <c r="E109" i="3"/>
  <c r="F109" i="3" s="1"/>
  <c r="E110" i="3"/>
  <c r="F110" i="3" s="1"/>
  <c r="E111" i="3"/>
  <c r="F111" i="3" s="1"/>
  <c r="G70" i="3"/>
  <c r="H70" i="3" s="1"/>
  <c r="G69" i="3"/>
  <c r="H69" i="3" s="1"/>
  <c r="D51" i="3"/>
  <c r="G71" i="3"/>
  <c r="H71" i="3" s="1"/>
  <c r="G61" i="3"/>
  <c r="H61" i="3" s="1"/>
  <c r="G67" i="3"/>
  <c r="H67" i="3" s="1"/>
  <c r="G68" i="3"/>
  <c r="H68" i="3" s="1"/>
  <c r="G63" i="3"/>
  <c r="H63" i="3" s="1"/>
  <c r="G60" i="3"/>
  <c r="H60" i="3" s="1"/>
  <c r="G62" i="3"/>
  <c r="H62" i="3" s="1"/>
  <c r="G65" i="3"/>
  <c r="H65" i="3" s="1"/>
  <c r="G64" i="3"/>
  <c r="H64" i="3" s="1"/>
  <c r="G65" i="4"/>
  <c r="H65" i="4" s="1"/>
  <c r="G64" i="4"/>
  <c r="H64" i="4" s="1"/>
  <c r="G63" i="4"/>
  <c r="H63" i="4" s="1"/>
  <c r="G70" i="4"/>
  <c r="H70" i="4" s="1"/>
  <c r="G66" i="4"/>
  <c r="H66" i="4" s="1"/>
  <c r="G68" i="4"/>
  <c r="H68" i="4" s="1"/>
  <c r="G60" i="4"/>
  <c r="H60" i="4" s="1"/>
  <c r="G69" i="4"/>
  <c r="H69" i="4" s="1"/>
  <c r="G61" i="4"/>
  <c r="H61" i="4" s="1"/>
  <c r="G62" i="4"/>
  <c r="H62" i="4" s="1"/>
  <c r="G71" i="4"/>
  <c r="H71" i="4" s="1"/>
  <c r="F108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20" i="3" l="1"/>
  <c r="E119" i="3"/>
  <c r="E115" i="3"/>
  <c r="E116" i="3" s="1"/>
  <c r="E117" i="3"/>
  <c r="G72" i="3"/>
  <c r="G73" i="3" s="1"/>
  <c r="G74" i="3"/>
  <c r="G74" i="4"/>
  <c r="G72" i="4"/>
  <c r="G73" i="4" s="1"/>
  <c r="H74" i="4"/>
  <c r="H72" i="4"/>
  <c r="E120" i="4"/>
  <c r="E115" i="4"/>
  <c r="E116" i="4" s="1"/>
  <c r="E117" i="4"/>
  <c r="F108" i="4"/>
  <c r="E119" i="4"/>
  <c r="H74" i="3"/>
  <c r="H72" i="3"/>
  <c r="F119" i="3"/>
  <c r="F125" i="3"/>
  <c r="F120" i="3"/>
  <c r="F117" i="3"/>
  <c r="D125" i="3"/>
  <c r="F115" i="3"/>
  <c r="G124" i="3" l="1"/>
  <c r="F116" i="3"/>
  <c r="F125" i="4"/>
  <c r="F120" i="4"/>
  <c r="F117" i="4"/>
  <c r="F119" i="4"/>
  <c r="D125" i="4"/>
  <c r="F115" i="4"/>
  <c r="G76" i="4"/>
  <c r="H73" i="4"/>
  <c r="G76" i="3"/>
  <c r="H73" i="3"/>
  <c r="G124" i="4" l="1"/>
  <c r="F116" i="4"/>
</calcChain>
</file>

<file path=xl/sharedStrings.xml><?xml version="1.0" encoding="utf-8"?>
<sst xmlns="http://schemas.openxmlformats.org/spreadsheetml/2006/main" count="455" uniqueCount="140">
  <si>
    <t>HPLC System Suitability Report</t>
  </si>
  <si>
    <t>Analysis Data</t>
  </si>
  <si>
    <t>Assay</t>
  </si>
  <si>
    <t>Sample(s)</t>
  </si>
  <si>
    <t>Reference Substance:</t>
  </si>
  <si>
    <t>CO-TRIMOXAZOLE TABLETS</t>
  </si>
  <si>
    <t>% age Purity:</t>
  </si>
  <si>
    <t>NDQB201612302</t>
  </si>
  <si>
    <t>Weight (mg):</t>
  </si>
  <si>
    <t>Sulfamethoxazole &amp; Trimethoprim</t>
  </si>
  <si>
    <t>Standard Conc (mg/mL):</t>
  </si>
  <si>
    <t>Each tablet contains Sulfamethoxazole 400 mg and Trimethoprim 80 mg</t>
  </si>
  <si>
    <t>2016-12-15 10:57:30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</si>
  <si>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</si>
  <si>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</si>
  <si>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</si>
  <si>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</si>
  <si>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</si>
  <si>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</si>
  <si>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</si>
  <si>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</si>
  <si>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</si>
  <si>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</si>
  <si>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</si>
  <si>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</si>
  <si>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</si>
  <si>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</si>
  <si>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</si>
  <si>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</si>
  <si>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</si>
  <si>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</si>
  <si>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</si>
  <si>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</si>
  <si>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</si>
  <si>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</si>
  <si>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</si>
  <si>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</si>
  <si>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</si>
  <si>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</si>
  <si>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</si>
  <si>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</si>
  <si>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</si>
  <si>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</si>
  <si>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</si>
  <si>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</si>
  <si>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</si>
  <si>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</si>
  <si>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</si>
  <si>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</si>
  <si>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</si>
  <si>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</si>
  <si>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</si>
  <si>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</si>
  <si>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</si>
  <si>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</si>
  <si>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</si>
  <si>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</si>
  <si>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</si>
  <si>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</si>
  <si>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</si>
  <si>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</si>
  <si>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</si>
  <si>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</si>
  <si>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</si>
  <si>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</si>
  <si>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</si>
  <si>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</si>
  <si>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</si>
  <si>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</si>
  <si>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</si>
  <si>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</si>
  <si>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</si>
  <si>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</si>
  <si>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</si>
  <si>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</si>
  <si>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</si>
  <si>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</si>
  <si>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</si>
  <si>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</si>
  <si>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</si>
  <si>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</si>
  <si>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</si>
  <si>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</si>
  <si>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</si>
  <si>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</si>
  <si>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</si>
  <si>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</si>
  <si>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</si>
  <si>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</si>
  <si>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</si>
  <si>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</si>
  <si>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</si>
  <si>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</si>
  <si>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</si>
  <si>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</si>
  <si>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</si>
  <si>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</si>
  <si>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</si>
  <si>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</si>
  <si>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</si>
  <si>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</si>
  <si>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</si>
  <si>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</si>
  <si>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</si>
  <si>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</si>
  <si>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</si>
  <si>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</si>
  <si>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</si>
  <si>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</si>
  <si>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</si>
  <si>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</si>
  <si>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</si>
  <si>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</si>
  <si>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</si>
  <si>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</si>
  <si>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</si>
  <si>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</si>
  <si>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</si>
  <si>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</si>
  <si>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</si>
  <si>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</si>
  <si>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</si>
  <si>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</si>
  <si>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</si>
  <si>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</si>
  <si>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</si>
  <si>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</si>
  <si>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</si>
  <si>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</si>
  <si>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</si>
  <si>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</si>
  <si>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Trimethoprim</t>
  </si>
  <si>
    <t>T7-4</t>
  </si>
  <si>
    <t xml:space="preserve">Sulfamethoxazole </t>
  </si>
  <si>
    <t>NDQE201607046</t>
  </si>
  <si>
    <t>Resolution(USP)</t>
  </si>
  <si>
    <t>Resolution between peak Trimethoprim and Sulfamethoxazole is NLT 5</t>
  </si>
  <si>
    <t>RUTTO KENNEDY</t>
  </si>
  <si>
    <t>19/12/2016</t>
  </si>
  <si>
    <t>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</si>
</sst>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workbookViewId="0">
      <selection activeCell="A29" sqref="A29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5" width="25.85546875" style="425" customWidth="1"/>
    <col min="6" max="6" width="25.7109375" style="425" customWidth="1"/>
    <col min="7" max="7" width="23.140625" style="425" customWidth="1"/>
    <col min="8" max="8" width="28.42578125" style="425" customWidth="1"/>
    <col min="9" max="9" width="21.5703125" style="425" customWidth="1"/>
    <col min="10" max="10" width="9.140625" style="425" customWidth="1"/>
    <col min="11" max="16384" width="9.140625" style="427"/>
  </cols>
  <sheetData>
    <row r="14" spans="1:7" ht="15" customHeight="1" x14ac:dyDescent="0.3">
      <c r="A14" s="424"/>
      <c r="C14" s="426"/>
      <c r="G14" s="426"/>
    </row>
    <row r="15" spans="1:7" ht="18.75" customHeight="1" x14ac:dyDescent="0.3">
      <c r="A15" s="512" t="s">
        <v>0</v>
      </c>
      <c r="B15" s="512"/>
      <c r="C15" s="512"/>
      <c r="D15" s="512"/>
      <c r="E15" s="512"/>
      <c r="F15" s="512"/>
    </row>
    <row r="16" spans="1:7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5</v>
      </c>
      <c r="D17" s="431"/>
      <c r="E17" s="431"/>
      <c r="F17" s="432"/>
    </row>
    <row r="18" spans="1:6" ht="16.5" customHeight="1" x14ac:dyDescent="0.3">
      <c r="A18" s="433" t="s">
        <v>4</v>
      </c>
      <c r="B18" s="430" t="s">
        <v>133</v>
      </c>
      <c r="C18" s="432"/>
      <c r="D18" s="432"/>
      <c r="E18" s="432"/>
      <c r="F18" s="432"/>
    </row>
    <row r="19" spans="1:6" ht="16.5" customHeight="1" x14ac:dyDescent="0.3">
      <c r="A19" s="433" t="s">
        <v>6</v>
      </c>
      <c r="B19" s="434">
        <v>99.28</v>
      </c>
      <c r="C19" s="432"/>
      <c r="D19" s="432"/>
      <c r="E19" s="432"/>
      <c r="F19" s="432"/>
    </row>
    <row r="20" spans="1:6" ht="16.5" customHeight="1" x14ac:dyDescent="0.3">
      <c r="A20" s="430" t="s">
        <v>8</v>
      </c>
      <c r="B20" s="434">
        <v>16.23</v>
      </c>
      <c r="C20" s="432"/>
      <c r="D20" s="432"/>
      <c r="E20" s="432"/>
      <c r="F20" s="432"/>
    </row>
    <row r="21" spans="1:6" ht="16.5" customHeight="1" x14ac:dyDescent="0.3">
      <c r="A21" s="430" t="s">
        <v>10</v>
      </c>
      <c r="B21" s="435">
        <f>16.23/1003</f>
        <v>1.6181455633100698E-2</v>
      </c>
      <c r="C21" s="432"/>
      <c r="D21" s="432"/>
      <c r="E21" s="432"/>
      <c r="F21" s="432"/>
    </row>
    <row r="22" spans="1:6" ht="15.75" customHeight="1" x14ac:dyDescent="0.25">
      <c r="A22" s="432"/>
      <c r="B22" s="432"/>
      <c r="C22" s="432"/>
      <c r="D22" s="432"/>
      <c r="E22" s="432"/>
      <c r="F22" s="432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135</v>
      </c>
      <c r="F23" s="436" t="s">
        <v>17</v>
      </c>
    </row>
    <row r="24" spans="1:6" ht="16.5" customHeight="1" x14ac:dyDescent="0.3">
      <c r="A24" s="438">
        <v>1</v>
      </c>
      <c r="B24" s="439">
        <v>51112632</v>
      </c>
      <c r="C24" s="439">
        <v>10801.2</v>
      </c>
      <c r="D24" s="440">
        <v>0.9</v>
      </c>
      <c r="E24" s="440">
        <v>11.96772</v>
      </c>
      <c r="F24" s="441">
        <v>5.7</v>
      </c>
    </row>
    <row r="25" spans="1:6" ht="16.5" customHeight="1" x14ac:dyDescent="0.3">
      <c r="A25" s="438">
        <v>2</v>
      </c>
      <c r="B25" s="439">
        <v>51245974</v>
      </c>
      <c r="C25" s="439">
        <v>10767.6</v>
      </c>
      <c r="D25" s="440">
        <v>0.9</v>
      </c>
      <c r="E25" s="440">
        <v>11.9558</v>
      </c>
      <c r="F25" s="440">
        <v>5.7</v>
      </c>
    </row>
    <row r="26" spans="1:6" ht="16.5" customHeight="1" x14ac:dyDescent="0.3">
      <c r="A26" s="438">
        <v>3</v>
      </c>
      <c r="B26" s="439">
        <v>51272574</v>
      </c>
      <c r="C26" s="439">
        <v>10805.1</v>
      </c>
      <c r="D26" s="440">
        <v>0.9</v>
      </c>
      <c r="E26" s="440">
        <v>11.95856</v>
      </c>
      <c r="F26" s="440">
        <v>5.7</v>
      </c>
    </row>
    <row r="27" spans="1:6" ht="16.5" customHeight="1" x14ac:dyDescent="0.3">
      <c r="A27" s="438">
        <v>4</v>
      </c>
      <c r="B27" s="439">
        <v>51294874</v>
      </c>
      <c r="C27" s="439">
        <v>10804.1</v>
      </c>
      <c r="D27" s="440">
        <v>1</v>
      </c>
      <c r="E27" s="440">
        <v>11.94699</v>
      </c>
      <c r="F27" s="440">
        <v>5.7</v>
      </c>
    </row>
    <row r="28" spans="1:6" ht="16.5" customHeight="1" x14ac:dyDescent="0.3">
      <c r="A28" s="438">
        <v>5</v>
      </c>
      <c r="B28" s="439">
        <v>51259456</v>
      </c>
      <c r="C28" s="439">
        <v>10809.4</v>
      </c>
      <c r="D28" s="440">
        <v>1</v>
      </c>
      <c r="E28" s="440">
        <v>11.949009999999999</v>
      </c>
      <c r="F28" s="440">
        <v>5.7</v>
      </c>
    </row>
    <row r="29" spans="1:6" ht="16.5" customHeight="1" x14ac:dyDescent="0.3">
      <c r="A29" s="438">
        <v>6</v>
      </c>
      <c r="B29" s="442">
        <v>51371355</v>
      </c>
      <c r="C29" s="442">
        <v>10763.1</v>
      </c>
      <c r="D29" s="443">
        <v>0.9</v>
      </c>
      <c r="E29" s="443">
        <v>11.955859999999999</v>
      </c>
      <c r="F29" s="443">
        <v>5.7</v>
      </c>
    </row>
    <row r="30" spans="1:6" ht="16.5" customHeight="1" x14ac:dyDescent="0.3">
      <c r="A30" s="444" t="s">
        <v>18</v>
      </c>
      <c r="B30" s="445">
        <f>AVERAGE(B24:B29)</f>
        <v>51259477.5</v>
      </c>
      <c r="C30" s="446">
        <f>AVERAGE(C24:C29)</f>
        <v>10791.75</v>
      </c>
      <c r="D30" s="447">
        <f>AVERAGE(D24:D29)</f>
        <v>0.93333333333333346</v>
      </c>
      <c r="E30" s="447">
        <v>11.96</v>
      </c>
      <c r="F30" s="447">
        <f>AVERAGE(F24:F29)</f>
        <v>5.7</v>
      </c>
    </row>
    <row r="31" spans="1:6" ht="16.5" customHeight="1" x14ac:dyDescent="0.3">
      <c r="A31" s="448" t="s">
        <v>19</v>
      </c>
      <c r="B31" s="449">
        <f>(STDEV(B24:B29)/B30)</f>
        <v>1.6481454938017202E-3</v>
      </c>
      <c r="C31" s="450"/>
      <c r="D31" s="450"/>
      <c r="E31" s="450"/>
      <c r="F31" s="451"/>
    </row>
    <row r="32" spans="1:6" s="425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5"/>
      <c r="F32" s="456"/>
    </row>
    <row r="33" spans="1:6" s="425" customFormat="1" ht="15.75" customHeight="1" x14ac:dyDescent="0.25">
      <c r="A33" s="432"/>
      <c r="B33" s="432"/>
      <c r="C33" s="432"/>
      <c r="D33" s="432"/>
      <c r="E33" s="432"/>
      <c r="F33" s="432"/>
    </row>
    <row r="34" spans="1:6" s="425" customFormat="1" ht="16.5" customHeight="1" x14ac:dyDescent="0.3">
      <c r="A34" s="433" t="s">
        <v>21</v>
      </c>
      <c r="B34" s="457" t="s">
        <v>22</v>
      </c>
      <c r="C34" s="458"/>
      <c r="D34" s="458"/>
      <c r="E34" s="458"/>
      <c r="F34" s="458"/>
    </row>
    <row r="35" spans="1:6" ht="16.5" customHeight="1" x14ac:dyDescent="0.3">
      <c r="A35" s="433"/>
      <c r="B35" s="457" t="s">
        <v>23</v>
      </c>
      <c r="C35" s="458"/>
      <c r="D35" s="458"/>
      <c r="E35" s="458"/>
      <c r="F35" s="458"/>
    </row>
    <row r="36" spans="1:6" ht="16.5" customHeight="1" x14ac:dyDescent="0.3">
      <c r="A36" s="433"/>
      <c r="B36" s="457" t="s">
        <v>24</v>
      </c>
      <c r="C36" s="458"/>
      <c r="D36" s="458"/>
      <c r="E36" s="458"/>
      <c r="F36" s="458"/>
    </row>
    <row r="37" spans="1:6" ht="15.75" customHeight="1" x14ac:dyDescent="0.25">
      <c r="A37" s="432"/>
      <c r="B37" s="432" t="s">
        <v>136</v>
      </c>
      <c r="C37" s="432"/>
      <c r="D37" s="432"/>
      <c r="E37" s="432"/>
      <c r="F37" s="432"/>
    </row>
    <row r="38" spans="1:6" ht="16.5" customHeight="1" x14ac:dyDescent="0.3">
      <c r="A38" s="428" t="s">
        <v>1</v>
      </c>
      <c r="B38" s="429" t="s">
        <v>25</v>
      </c>
    </row>
    <row r="39" spans="1:6" ht="16.5" customHeight="1" x14ac:dyDescent="0.3">
      <c r="A39" s="433" t="s">
        <v>4</v>
      </c>
      <c r="B39" s="430"/>
      <c r="C39" s="432"/>
      <c r="D39" s="432"/>
      <c r="E39" s="432"/>
      <c r="F39" s="432"/>
    </row>
    <row r="40" spans="1:6" ht="16.5" customHeight="1" x14ac:dyDescent="0.3">
      <c r="A40" s="433" t="s">
        <v>6</v>
      </c>
      <c r="B40" s="434"/>
      <c r="C40" s="432"/>
      <c r="D40" s="432"/>
      <c r="E40" s="432"/>
      <c r="F40" s="432"/>
    </row>
    <row r="41" spans="1:6" ht="16.5" customHeight="1" x14ac:dyDescent="0.3">
      <c r="A41" s="430" t="s">
        <v>8</v>
      </c>
      <c r="B41" s="434"/>
      <c r="C41" s="432"/>
      <c r="D41" s="432"/>
      <c r="E41" s="432"/>
      <c r="F41" s="432"/>
    </row>
    <row r="42" spans="1:6" ht="16.5" customHeight="1" x14ac:dyDescent="0.3">
      <c r="A42" s="430" t="s">
        <v>10</v>
      </c>
      <c r="B42" s="435"/>
      <c r="C42" s="432"/>
      <c r="D42" s="432"/>
      <c r="E42" s="432"/>
      <c r="F42" s="432"/>
    </row>
    <row r="43" spans="1:6" ht="15.75" customHeight="1" x14ac:dyDescent="0.25">
      <c r="A43" s="432"/>
      <c r="B43" s="432"/>
      <c r="C43" s="432"/>
      <c r="D43" s="432"/>
      <c r="E43" s="432"/>
      <c r="F43" s="432"/>
    </row>
    <row r="44" spans="1:6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/>
      <c r="F44" s="436" t="s">
        <v>17</v>
      </c>
    </row>
    <row r="45" spans="1:6" ht="16.5" customHeight="1" x14ac:dyDescent="0.3">
      <c r="A45" s="438">
        <v>1</v>
      </c>
      <c r="B45" s="439"/>
      <c r="C45" s="439"/>
      <c r="D45" s="440"/>
      <c r="E45" s="440"/>
      <c r="F45" s="441"/>
    </row>
    <row r="46" spans="1:6" ht="16.5" customHeight="1" x14ac:dyDescent="0.3">
      <c r="A46" s="438">
        <v>2</v>
      </c>
      <c r="B46" s="439"/>
      <c r="C46" s="439"/>
      <c r="D46" s="440"/>
      <c r="E46" s="440"/>
      <c r="F46" s="440"/>
    </row>
    <row r="47" spans="1:6" ht="16.5" customHeight="1" x14ac:dyDescent="0.3">
      <c r="A47" s="438">
        <v>3</v>
      </c>
      <c r="B47" s="439"/>
      <c r="C47" s="439"/>
      <c r="D47" s="440"/>
      <c r="E47" s="440"/>
      <c r="F47" s="440"/>
    </row>
    <row r="48" spans="1:6" ht="16.5" customHeight="1" x14ac:dyDescent="0.3">
      <c r="A48" s="438">
        <v>4</v>
      </c>
      <c r="B48" s="439"/>
      <c r="C48" s="439"/>
      <c r="D48" s="440"/>
      <c r="E48" s="440"/>
      <c r="F48" s="440"/>
    </row>
    <row r="49" spans="1:8" ht="16.5" customHeight="1" x14ac:dyDescent="0.3">
      <c r="A49" s="438">
        <v>5</v>
      </c>
      <c r="B49" s="439"/>
      <c r="C49" s="439"/>
      <c r="D49" s="440"/>
      <c r="E49" s="440"/>
      <c r="F49" s="440"/>
    </row>
    <row r="50" spans="1:8" ht="16.5" customHeight="1" x14ac:dyDescent="0.3">
      <c r="A50" s="438">
        <v>6</v>
      </c>
      <c r="B50" s="442"/>
      <c r="C50" s="442"/>
      <c r="D50" s="443"/>
      <c r="E50" s="443"/>
      <c r="F50" s="443"/>
    </row>
    <row r="51" spans="1:8" ht="16.5" customHeight="1" x14ac:dyDescent="0.3">
      <c r="A51" s="444" t="s">
        <v>18</v>
      </c>
      <c r="B51" s="445" t="e">
        <f>AVERAGE(B45:B50)</f>
        <v>#DIV/0!</v>
      </c>
      <c r="C51" s="446" t="e">
        <f>AVERAGE(C45:C50)</f>
        <v>#DIV/0!</v>
      </c>
      <c r="D51" s="447" t="e">
        <f>AVERAGE(D45:D50)</f>
        <v>#DIV/0!</v>
      </c>
      <c r="E51" s="447"/>
      <c r="F51" s="447" t="e">
        <f>AVERAGE(F45:F50)</f>
        <v>#DIV/0!</v>
      </c>
    </row>
    <row r="52" spans="1:8" ht="16.5" customHeight="1" x14ac:dyDescent="0.3">
      <c r="A52" s="448" t="s">
        <v>19</v>
      </c>
      <c r="B52" s="449" t="e">
        <f>(STDEV(B45:B50)/B51)</f>
        <v>#DIV/0!</v>
      </c>
      <c r="C52" s="450"/>
      <c r="D52" s="450"/>
      <c r="E52" s="450"/>
      <c r="F52" s="451"/>
    </row>
    <row r="53" spans="1:8" s="425" customFormat="1" ht="16.5" customHeight="1" x14ac:dyDescent="0.3">
      <c r="A53" s="452" t="s">
        <v>20</v>
      </c>
      <c r="B53" s="453">
        <f>COUNT(B45:B50)</f>
        <v>0</v>
      </c>
      <c r="C53" s="454"/>
      <c r="D53" s="455"/>
      <c r="E53" s="455"/>
      <c r="F53" s="456"/>
    </row>
    <row r="54" spans="1:8" s="425" customFormat="1" ht="15.75" customHeight="1" x14ac:dyDescent="0.25">
      <c r="A54" s="432"/>
      <c r="B54" s="432"/>
      <c r="C54" s="432"/>
      <c r="D54" s="432"/>
      <c r="E54" s="432"/>
      <c r="F54" s="432"/>
    </row>
    <row r="55" spans="1:8" s="425" customFormat="1" ht="16.5" customHeight="1" x14ac:dyDescent="0.3">
      <c r="A55" s="433" t="s">
        <v>21</v>
      </c>
      <c r="B55" s="457" t="s">
        <v>22</v>
      </c>
      <c r="C55" s="458"/>
      <c r="D55" s="458"/>
      <c r="E55" s="458"/>
      <c r="F55" s="458"/>
    </row>
    <row r="56" spans="1:8" ht="16.5" customHeight="1" x14ac:dyDescent="0.3">
      <c r="A56" s="433"/>
      <c r="B56" s="457" t="s">
        <v>23</v>
      </c>
      <c r="C56" s="458"/>
      <c r="D56" s="458"/>
      <c r="E56" s="458"/>
      <c r="F56" s="458"/>
    </row>
    <row r="57" spans="1:8" ht="16.5" customHeight="1" x14ac:dyDescent="0.3">
      <c r="A57" s="433"/>
      <c r="B57" s="457" t="s">
        <v>24</v>
      </c>
      <c r="C57" s="458"/>
      <c r="D57" s="458"/>
      <c r="E57" s="458"/>
      <c r="F57" s="458"/>
    </row>
    <row r="58" spans="1:8" ht="14.25" customHeight="1" thickBot="1" x14ac:dyDescent="0.3">
      <c r="A58" s="459"/>
      <c r="B58" s="432" t="s">
        <v>136</v>
      </c>
      <c r="D58" s="460"/>
      <c r="E58" s="461"/>
      <c r="G58" s="427"/>
      <c r="H58" s="427"/>
    </row>
    <row r="59" spans="1:8" ht="15" customHeight="1" x14ac:dyDescent="0.3">
      <c r="B59" s="513" t="s">
        <v>26</v>
      </c>
      <c r="C59" s="513"/>
      <c r="F59" s="462" t="s">
        <v>27</v>
      </c>
      <c r="G59" s="463"/>
      <c r="H59" s="462" t="s">
        <v>28</v>
      </c>
    </row>
    <row r="60" spans="1:8" ht="15" customHeight="1" x14ac:dyDescent="0.3">
      <c r="A60" s="464" t="s">
        <v>29</v>
      </c>
      <c r="B60" s="465" t="s">
        <v>137</v>
      </c>
      <c r="C60" s="465"/>
      <c r="F60" s="465" t="s">
        <v>138</v>
      </c>
      <c r="H60" s="465"/>
    </row>
    <row r="61" spans="1:8" ht="15" customHeight="1" x14ac:dyDescent="0.3">
      <c r="A61" s="464" t="s">
        <v>30</v>
      </c>
      <c r="B61" s="466"/>
      <c r="C61" s="466"/>
      <c r="F61" s="466"/>
      <c r="H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9" sqref="B29"/>
    </sheetView>
  </sheetViews>
  <sheetFormatPr defaultRowHeight="13.5" x14ac:dyDescent="0.25"/>
  <cols>
    <col min="1" max="1" width="27.5703125" style="469" customWidth="1"/>
    <col min="2" max="2" width="20.42578125" style="469" customWidth="1"/>
    <col min="3" max="3" width="31.85546875" style="469" customWidth="1"/>
    <col min="4" max="4" width="25.85546875" style="469" customWidth="1"/>
    <col min="5" max="5" width="25.7109375" style="469" customWidth="1"/>
    <col min="6" max="6" width="23.140625" style="469" customWidth="1"/>
    <col min="7" max="7" width="28.42578125" style="469" customWidth="1"/>
    <col min="8" max="8" width="21.5703125" style="469" customWidth="1"/>
    <col min="9" max="9" width="9.140625" style="469" customWidth="1"/>
    <col min="10" max="16384" width="9.140625" style="471"/>
  </cols>
  <sheetData>
    <row r="14" spans="1:6" ht="15" customHeight="1" x14ac:dyDescent="0.3">
      <c r="A14" s="468"/>
      <c r="C14" s="470"/>
      <c r="F14" s="470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472" t="s">
        <v>1</v>
      </c>
      <c r="B16" s="473" t="s">
        <v>2</v>
      </c>
    </row>
    <row r="17" spans="1:5" ht="16.5" customHeight="1" x14ac:dyDescent="0.3">
      <c r="A17" s="474" t="s">
        <v>3</v>
      </c>
      <c r="B17" s="474" t="s">
        <v>5</v>
      </c>
      <c r="D17" s="475"/>
      <c r="E17" s="476"/>
    </row>
    <row r="18" spans="1:5" ht="16.5" customHeight="1" x14ac:dyDescent="0.3">
      <c r="A18" s="477" t="s">
        <v>4</v>
      </c>
      <c r="B18" s="474" t="s">
        <v>139</v>
      </c>
      <c r="C18" s="476"/>
      <c r="D18" s="476"/>
      <c r="E18" s="476"/>
    </row>
    <row r="19" spans="1:5" ht="16.5" customHeight="1" x14ac:dyDescent="0.3">
      <c r="A19" s="477" t="s">
        <v>6</v>
      </c>
      <c r="B19" s="478">
        <v>99.3</v>
      </c>
      <c r="C19" s="476"/>
      <c r="D19" s="476"/>
      <c r="E19" s="476"/>
    </row>
    <row r="20" spans="1:5" ht="16.5" customHeight="1" x14ac:dyDescent="0.3">
      <c r="A20" s="474" t="s">
        <v>8</v>
      </c>
      <c r="B20" s="478">
        <v>19.18</v>
      </c>
      <c r="C20" s="476"/>
      <c r="D20" s="476"/>
      <c r="E20" s="476"/>
    </row>
    <row r="21" spans="1:5" ht="16.5" customHeight="1" x14ac:dyDescent="0.3">
      <c r="A21" s="474" t="s">
        <v>10</v>
      </c>
      <c r="B21" s="479">
        <f>19.18/25*4/100</f>
        <v>3.0688E-2</v>
      </c>
      <c r="C21" s="476"/>
      <c r="D21" s="476"/>
      <c r="E21" s="476"/>
    </row>
    <row r="22" spans="1:5" ht="15.75" customHeight="1" x14ac:dyDescent="0.25">
      <c r="A22" s="476"/>
      <c r="B22" s="476"/>
      <c r="C22" s="476"/>
      <c r="D22" s="476"/>
      <c r="E22" s="476"/>
    </row>
    <row r="23" spans="1:5" ht="16.5" customHeight="1" x14ac:dyDescent="0.3">
      <c r="A23" s="480" t="s">
        <v>13</v>
      </c>
      <c r="B23" s="481" t="s">
        <v>14</v>
      </c>
      <c r="C23" s="480" t="s">
        <v>15</v>
      </c>
      <c r="D23" s="480" t="s">
        <v>16</v>
      </c>
      <c r="E23" s="480" t="s">
        <v>17</v>
      </c>
    </row>
    <row r="24" spans="1:5" ht="16.5" customHeight="1" x14ac:dyDescent="0.3">
      <c r="A24" s="482">
        <v>1</v>
      </c>
      <c r="B24" s="483">
        <v>3597470</v>
      </c>
      <c r="C24" s="483">
        <v>8038.3</v>
      </c>
      <c r="D24" s="484">
        <v>1</v>
      </c>
      <c r="E24" s="485">
        <v>3.5</v>
      </c>
    </row>
    <row r="25" spans="1:5" ht="16.5" customHeight="1" x14ac:dyDescent="0.3">
      <c r="A25" s="482">
        <v>2</v>
      </c>
      <c r="B25" s="483">
        <v>3606696</v>
      </c>
      <c r="C25" s="483">
        <v>8035.1</v>
      </c>
      <c r="D25" s="484">
        <v>1</v>
      </c>
      <c r="E25" s="484">
        <v>3.5</v>
      </c>
    </row>
    <row r="26" spans="1:5" ht="16.5" customHeight="1" x14ac:dyDescent="0.3">
      <c r="A26" s="482">
        <v>3</v>
      </c>
      <c r="B26" s="483">
        <v>3611453</v>
      </c>
      <c r="C26" s="483">
        <v>7898.8</v>
      </c>
      <c r="D26" s="484">
        <v>1.1000000000000001</v>
      </c>
      <c r="E26" s="484">
        <v>3.5</v>
      </c>
    </row>
    <row r="27" spans="1:5" ht="16.5" customHeight="1" x14ac:dyDescent="0.3">
      <c r="A27" s="482">
        <v>4</v>
      </c>
      <c r="B27" s="483">
        <v>3613232</v>
      </c>
      <c r="C27" s="483">
        <v>7926.7</v>
      </c>
      <c r="D27" s="484">
        <v>1.1000000000000001</v>
      </c>
      <c r="E27" s="484">
        <v>3.5</v>
      </c>
    </row>
    <row r="28" spans="1:5" ht="16.5" customHeight="1" x14ac:dyDescent="0.3">
      <c r="A28" s="482">
        <v>5</v>
      </c>
      <c r="B28" s="483">
        <v>3614436</v>
      </c>
      <c r="C28" s="483">
        <v>7927.7</v>
      </c>
      <c r="D28" s="484">
        <v>1.1000000000000001</v>
      </c>
      <c r="E28" s="484">
        <v>3.5</v>
      </c>
    </row>
    <row r="29" spans="1:5" ht="16.5" customHeight="1" x14ac:dyDescent="0.3">
      <c r="A29" s="482">
        <v>6</v>
      </c>
      <c r="B29" s="486">
        <v>3618737</v>
      </c>
      <c r="C29" s="486">
        <v>8040</v>
      </c>
      <c r="D29" s="487">
        <v>1</v>
      </c>
      <c r="E29" s="487">
        <v>3.5</v>
      </c>
    </row>
    <row r="30" spans="1:5" ht="16.5" customHeight="1" x14ac:dyDescent="0.3">
      <c r="A30" s="488" t="s">
        <v>18</v>
      </c>
      <c r="B30" s="489">
        <f>AVERAGE(B24:B29)</f>
        <v>3610337.3333333335</v>
      </c>
      <c r="C30" s="490">
        <f>AVERAGE(C24:C29)</f>
        <v>7977.7666666666664</v>
      </c>
      <c r="D30" s="491">
        <f>AVERAGE(D24:D29)</f>
        <v>1.05</v>
      </c>
      <c r="E30" s="491">
        <f>AVERAGE(E24:E29)</f>
        <v>3.5</v>
      </c>
    </row>
    <row r="31" spans="1:5" ht="16.5" customHeight="1" x14ac:dyDescent="0.3">
      <c r="A31" s="492" t="s">
        <v>19</v>
      </c>
      <c r="B31" s="493">
        <f>(STDEV(B24:B29)/B30)</f>
        <v>2.0571604494168433E-3</v>
      </c>
      <c r="C31" s="494"/>
      <c r="D31" s="494"/>
      <c r="E31" s="495"/>
    </row>
    <row r="32" spans="1:5" s="469" customFormat="1" ht="16.5" customHeight="1" x14ac:dyDescent="0.3">
      <c r="A32" s="496" t="s">
        <v>20</v>
      </c>
      <c r="B32" s="497">
        <f>COUNT(B24:B29)</f>
        <v>6</v>
      </c>
      <c r="C32" s="498"/>
      <c r="D32" s="499"/>
      <c r="E32" s="500"/>
    </row>
    <row r="33" spans="1:5" s="469" customFormat="1" ht="15.75" customHeight="1" x14ac:dyDescent="0.25">
      <c r="A33" s="476"/>
      <c r="B33" s="476"/>
      <c r="C33" s="476"/>
      <c r="D33" s="476"/>
      <c r="E33" s="476"/>
    </row>
    <row r="34" spans="1:5" s="469" customFormat="1" ht="16.5" customHeight="1" x14ac:dyDescent="0.3">
      <c r="A34" s="477" t="s">
        <v>21</v>
      </c>
      <c r="B34" s="501" t="s">
        <v>22</v>
      </c>
      <c r="C34" s="502"/>
      <c r="D34" s="502"/>
      <c r="E34" s="502"/>
    </row>
    <row r="35" spans="1:5" ht="16.5" customHeight="1" x14ac:dyDescent="0.3">
      <c r="A35" s="477"/>
      <c r="B35" s="501" t="s">
        <v>23</v>
      </c>
      <c r="C35" s="502"/>
      <c r="D35" s="502"/>
      <c r="E35" s="502"/>
    </row>
    <row r="36" spans="1:5" ht="16.5" customHeight="1" x14ac:dyDescent="0.3">
      <c r="A36" s="477"/>
      <c r="B36" s="501" t="s">
        <v>24</v>
      </c>
      <c r="C36" s="502"/>
      <c r="D36" s="502"/>
      <c r="E36" s="502"/>
    </row>
    <row r="37" spans="1:5" ht="15.75" customHeight="1" x14ac:dyDescent="0.25">
      <c r="A37" s="476"/>
      <c r="B37" s="476"/>
      <c r="C37" s="476"/>
      <c r="D37" s="476"/>
      <c r="E37" s="476"/>
    </row>
    <row r="38" spans="1:5" ht="16.5" customHeight="1" x14ac:dyDescent="0.3">
      <c r="A38" s="472" t="s">
        <v>1</v>
      </c>
      <c r="B38" s="473" t="s">
        <v>25</v>
      </c>
    </row>
    <row r="39" spans="1:5" ht="16.5" customHeight="1" x14ac:dyDescent="0.3">
      <c r="A39" s="477" t="s">
        <v>4</v>
      </c>
      <c r="B39" s="474"/>
      <c r="C39" s="476"/>
      <c r="D39" s="476"/>
      <c r="E39" s="476"/>
    </row>
    <row r="40" spans="1:5" ht="16.5" customHeight="1" x14ac:dyDescent="0.3">
      <c r="A40" s="477" t="s">
        <v>6</v>
      </c>
      <c r="B40" s="478"/>
      <c r="C40" s="476"/>
      <c r="D40" s="476"/>
      <c r="E40" s="476"/>
    </row>
    <row r="41" spans="1:5" ht="16.5" customHeight="1" x14ac:dyDescent="0.3">
      <c r="A41" s="474" t="s">
        <v>8</v>
      </c>
      <c r="B41" s="478"/>
      <c r="C41" s="476"/>
      <c r="D41" s="476"/>
      <c r="E41" s="476"/>
    </row>
    <row r="42" spans="1:5" ht="16.5" customHeight="1" x14ac:dyDescent="0.3">
      <c r="A42" s="474" t="s">
        <v>10</v>
      </c>
      <c r="B42" s="479"/>
      <c r="C42" s="476"/>
      <c r="D42" s="476"/>
      <c r="E42" s="476"/>
    </row>
    <row r="43" spans="1:5" ht="15.75" customHeight="1" x14ac:dyDescent="0.25">
      <c r="A43" s="476"/>
      <c r="B43" s="476"/>
      <c r="C43" s="476"/>
      <c r="D43" s="476"/>
      <c r="E43" s="476"/>
    </row>
    <row r="44" spans="1:5" ht="16.5" customHeight="1" x14ac:dyDescent="0.3">
      <c r="A44" s="480" t="s">
        <v>13</v>
      </c>
      <c r="B44" s="481" t="s">
        <v>14</v>
      </c>
      <c r="C44" s="480" t="s">
        <v>15</v>
      </c>
      <c r="D44" s="480" t="s">
        <v>16</v>
      </c>
      <c r="E44" s="480" t="s">
        <v>17</v>
      </c>
    </row>
    <row r="45" spans="1:5" ht="16.5" customHeight="1" x14ac:dyDescent="0.3">
      <c r="A45" s="482">
        <v>1</v>
      </c>
      <c r="B45" s="483"/>
      <c r="C45" s="483"/>
      <c r="D45" s="484"/>
      <c r="E45" s="485"/>
    </row>
    <row r="46" spans="1:5" ht="16.5" customHeight="1" x14ac:dyDescent="0.3">
      <c r="A46" s="482">
        <v>2</v>
      </c>
      <c r="B46" s="483"/>
      <c r="C46" s="483"/>
      <c r="D46" s="484"/>
      <c r="E46" s="484"/>
    </row>
    <row r="47" spans="1:5" ht="16.5" customHeight="1" x14ac:dyDescent="0.3">
      <c r="A47" s="482">
        <v>3</v>
      </c>
      <c r="B47" s="483"/>
      <c r="C47" s="483"/>
      <c r="D47" s="484"/>
      <c r="E47" s="484"/>
    </row>
    <row r="48" spans="1:5" ht="16.5" customHeight="1" x14ac:dyDescent="0.3">
      <c r="A48" s="482">
        <v>4</v>
      </c>
      <c r="B48" s="483"/>
      <c r="C48" s="483"/>
      <c r="D48" s="484"/>
      <c r="E48" s="484"/>
    </row>
    <row r="49" spans="1:7" ht="16.5" customHeight="1" x14ac:dyDescent="0.3">
      <c r="A49" s="482">
        <v>5</v>
      </c>
      <c r="B49" s="483"/>
      <c r="C49" s="483"/>
      <c r="D49" s="484"/>
      <c r="E49" s="484"/>
    </row>
    <row r="50" spans="1:7" ht="16.5" customHeight="1" x14ac:dyDescent="0.3">
      <c r="A50" s="482">
        <v>6</v>
      </c>
      <c r="B50" s="486"/>
      <c r="C50" s="486"/>
      <c r="D50" s="487"/>
      <c r="E50" s="487"/>
    </row>
    <row r="51" spans="1:7" ht="16.5" customHeight="1" x14ac:dyDescent="0.3">
      <c r="A51" s="488" t="s">
        <v>18</v>
      </c>
      <c r="B51" s="489" t="e">
        <f>AVERAGE(B45:B50)</f>
        <v>#DIV/0!</v>
      </c>
      <c r="C51" s="490" t="e">
        <f>AVERAGE(C45:C50)</f>
        <v>#DIV/0!</v>
      </c>
      <c r="D51" s="491" t="e">
        <f>AVERAGE(D45:D50)</f>
        <v>#DIV/0!</v>
      </c>
      <c r="E51" s="491" t="e">
        <f>AVERAGE(E45:E50)</f>
        <v>#DIV/0!</v>
      </c>
    </row>
    <row r="52" spans="1:7" ht="16.5" customHeight="1" x14ac:dyDescent="0.3">
      <c r="A52" s="492" t="s">
        <v>19</v>
      </c>
      <c r="B52" s="493" t="e">
        <f>(STDEV(B45:B50)/B51)</f>
        <v>#DIV/0!</v>
      </c>
      <c r="C52" s="494"/>
      <c r="D52" s="494"/>
      <c r="E52" s="495"/>
    </row>
    <row r="53" spans="1:7" s="469" customFormat="1" ht="16.5" customHeight="1" x14ac:dyDescent="0.3">
      <c r="A53" s="496" t="s">
        <v>20</v>
      </c>
      <c r="B53" s="497">
        <f>COUNT(B45:B50)</f>
        <v>0</v>
      </c>
      <c r="C53" s="498"/>
      <c r="D53" s="499"/>
      <c r="E53" s="500"/>
    </row>
    <row r="54" spans="1:7" s="469" customFormat="1" ht="15.75" customHeight="1" x14ac:dyDescent="0.25">
      <c r="A54" s="476"/>
      <c r="B54" s="476"/>
      <c r="C54" s="476"/>
      <c r="D54" s="476"/>
      <c r="E54" s="476"/>
    </row>
    <row r="55" spans="1:7" s="469" customFormat="1" ht="16.5" customHeight="1" x14ac:dyDescent="0.3">
      <c r="A55" s="477" t="s">
        <v>21</v>
      </c>
      <c r="B55" s="501" t="s">
        <v>22</v>
      </c>
      <c r="C55" s="502"/>
      <c r="D55" s="502"/>
      <c r="E55" s="502"/>
    </row>
    <row r="56" spans="1:7" ht="16.5" customHeight="1" x14ac:dyDescent="0.3">
      <c r="A56" s="477"/>
      <c r="B56" s="501" t="s">
        <v>23</v>
      </c>
      <c r="C56" s="502"/>
      <c r="D56" s="502"/>
      <c r="E56" s="502"/>
    </row>
    <row r="57" spans="1:7" ht="16.5" customHeight="1" x14ac:dyDescent="0.3">
      <c r="A57" s="477"/>
      <c r="B57" s="501" t="s">
        <v>24</v>
      </c>
      <c r="C57" s="502"/>
      <c r="D57" s="502"/>
      <c r="E57" s="502"/>
    </row>
    <row r="58" spans="1:7" ht="14.25" customHeight="1" thickBot="1" x14ac:dyDescent="0.3">
      <c r="A58" s="503"/>
      <c r="B58" s="504"/>
      <c r="D58" s="505"/>
      <c r="F58" s="471"/>
      <c r="G58" s="471"/>
    </row>
    <row r="59" spans="1:7" ht="15" customHeight="1" x14ac:dyDescent="0.3">
      <c r="B59" s="515" t="s">
        <v>26</v>
      </c>
      <c r="C59" s="515"/>
      <c r="E59" s="506" t="s">
        <v>27</v>
      </c>
      <c r="F59" s="507"/>
      <c r="G59" s="506" t="s">
        <v>28</v>
      </c>
    </row>
    <row r="60" spans="1:7" ht="15" customHeight="1" x14ac:dyDescent="0.3">
      <c r="A60" s="508" t="s">
        <v>29</v>
      </c>
      <c r="B60" s="509" t="s">
        <v>137</v>
      </c>
      <c r="C60" s="509"/>
      <c r="E60" s="509" t="s">
        <v>138</v>
      </c>
      <c r="G60" s="509"/>
    </row>
    <row r="61" spans="1:7" ht="15" customHeight="1" x14ac:dyDescent="0.3">
      <c r="A61" s="508" t="s">
        <v>30</v>
      </c>
      <c r="B61" s="510"/>
      <c r="C61" s="510"/>
      <c r="E61" s="510"/>
      <c r="G61" s="51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6" sqref="D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9" t="s">
        <v>31</v>
      </c>
      <c r="B11" s="520"/>
      <c r="C11" s="520"/>
      <c r="D11" s="520"/>
      <c r="E11" s="520"/>
      <c r="F11" s="521"/>
      <c r="G11" s="43"/>
    </row>
    <row r="12" spans="1:7" ht="16.5" customHeight="1" x14ac:dyDescent="0.3">
      <c r="A12" s="518" t="s">
        <v>32</v>
      </c>
      <c r="B12" s="518"/>
      <c r="C12" s="518"/>
      <c r="D12" s="518"/>
      <c r="E12" s="518"/>
      <c r="F12" s="518"/>
      <c r="G12" s="42"/>
    </row>
    <row r="14" spans="1:7" ht="16.5" customHeight="1" x14ac:dyDescent="0.3">
      <c r="A14" s="523" t="s">
        <v>33</v>
      </c>
      <c r="B14" s="523"/>
      <c r="C14" s="12" t="s">
        <v>5</v>
      </c>
    </row>
    <row r="15" spans="1:7" ht="16.5" customHeight="1" x14ac:dyDescent="0.3">
      <c r="A15" s="523" t="s">
        <v>34</v>
      </c>
      <c r="B15" s="523"/>
      <c r="C15" s="12" t="s">
        <v>7</v>
      </c>
    </row>
    <row r="16" spans="1:7" ht="16.5" customHeight="1" x14ac:dyDescent="0.3">
      <c r="A16" s="523" t="s">
        <v>35</v>
      </c>
      <c r="B16" s="523"/>
      <c r="C16" s="12" t="s">
        <v>9</v>
      </c>
    </row>
    <row r="17" spans="1:5" ht="16.5" customHeight="1" x14ac:dyDescent="0.3">
      <c r="A17" s="523" t="s">
        <v>36</v>
      </c>
      <c r="B17" s="523"/>
      <c r="C17" s="12" t="s">
        <v>11</v>
      </c>
    </row>
    <row r="18" spans="1:5" ht="16.5" customHeight="1" x14ac:dyDescent="0.3">
      <c r="A18" s="523" t="s">
        <v>37</v>
      </c>
      <c r="B18" s="523"/>
      <c r="C18" s="49" t="s">
        <v>12</v>
      </c>
    </row>
    <row r="19" spans="1:5" ht="16.5" customHeight="1" x14ac:dyDescent="0.3">
      <c r="A19" s="523" t="s">
        <v>38</v>
      </c>
      <c r="B19" s="5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8" t="s">
        <v>1</v>
      </c>
      <c r="B21" s="518"/>
      <c r="C21" s="11" t="s">
        <v>39</v>
      </c>
      <c r="D21" s="18"/>
    </row>
    <row r="22" spans="1:5" ht="15.75" customHeight="1" x14ac:dyDescent="0.3">
      <c r="A22" s="522"/>
      <c r="B22" s="522"/>
      <c r="C22" s="9"/>
      <c r="D22" s="522"/>
      <c r="E22" s="52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1064.2</v>
      </c>
      <c r="D24" s="39">
        <f t="shared" ref="D24:D43" si="0">(C24-$C$46)/$C$46</f>
        <v>-1.3435246838185894E-2</v>
      </c>
      <c r="E24" s="5"/>
    </row>
    <row r="25" spans="1:5" ht="15.75" customHeight="1" x14ac:dyDescent="0.3">
      <c r="C25" s="47">
        <v>1087.77</v>
      </c>
      <c r="D25" s="40">
        <f t="shared" si="0"/>
        <v>8.4152805363902142E-3</v>
      </c>
      <c r="E25" s="5"/>
    </row>
    <row r="26" spans="1:5" ht="15.75" customHeight="1" x14ac:dyDescent="0.3">
      <c r="C26" s="47">
        <v>1080.92</v>
      </c>
      <c r="D26" s="40">
        <f t="shared" si="0"/>
        <v>2.0649999884120741E-3</v>
      </c>
      <c r="E26" s="5"/>
    </row>
    <row r="27" spans="1:5" ht="15.75" customHeight="1" x14ac:dyDescent="0.3">
      <c r="C27" s="47">
        <v>1067.71</v>
      </c>
      <c r="D27" s="40">
        <f t="shared" si="0"/>
        <v>-1.0181307462506549E-2</v>
      </c>
      <c r="E27" s="5"/>
    </row>
    <row r="28" spans="1:5" ht="15.75" customHeight="1" x14ac:dyDescent="0.3">
      <c r="C28" s="47">
        <v>1097.28</v>
      </c>
      <c r="D28" s="40">
        <f t="shared" si="0"/>
        <v>1.7231509443145377E-2</v>
      </c>
      <c r="E28" s="5"/>
    </row>
    <row r="29" spans="1:5" ht="15.75" customHeight="1" x14ac:dyDescent="0.3">
      <c r="C29" s="47">
        <v>1065.69</v>
      </c>
      <c r="D29" s="40">
        <f t="shared" si="0"/>
        <v>-1.2053944937968724E-2</v>
      </c>
      <c r="E29" s="5"/>
    </row>
    <row r="30" spans="1:5" ht="15.75" customHeight="1" x14ac:dyDescent="0.3">
      <c r="C30" s="47">
        <v>1082.98</v>
      </c>
      <c r="D30" s="40">
        <f t="shared" si="0"/>
        <v>3.9747193940813871E-3</v>
      </c>
      <c r="E30" s="5"/>
    </row>
    <row r="31" spans="1:5" ht="15.75" customHeight="1" x14ac:dyDescent="0.3">
      <c r="C31" s="47">
        <v>1096.26</v>
      </c>
      <c r="D31" s="40">
        <f t="shared" si="0"/>
        <v>1.6285920222862505E-2</v>
      </c>
      <c r="E31" s="5"/>
    </row>
    <row r="32" spans="1:5" ht="15.75" customHeight="1" x14ac:dyDescent="0.3">
      <c r="C32" s="47">
        <v>1091.44</v>
      </c>
      <c r="D32" s="40">
        <f t="shared" si="0"/>
        <v>1.1817547632898323E-2</v>
      </c>
      <c r="E32" s="5"/>
    </row>
    <row r="33" spans="1:7" ht="15.75" customHeight="1" x14ac:dyDescent="0.3">
      <c r="C33" s="47">
        <v>1078.8599999999999</v>
      </c>
      <c r="D33" s="40">
        <f t="shared" si="0"/>
        <v>1.5528058274255009E-4</v>
      </c>
      <c r="E33" s="5"/>
    </row>
    <row r="34" spans="1:7" ht="15.75" customHeight="1" x14ac:dyDescent="0.3">
      <c r="C34" s="47">
        <v>1074.17</v>
      </c>
      <c r="D34" s="40">
        <f t="shared" si="0"/>
        <v>-4.1925757340482202E-3</v>
      </c>
      <c r="E34" s="5"/>
    </row>
    <row r="35" spans="1:7" ht="15.75" customHeight="1" x14ac:dyDescent="0.3">
      <c r="C35" s="47">
        <v>1075.22</v>
      </c>
      <c r="D35" s="40">
        <f t="shared" si="0"/>
        <v>-3.2191750661099941E-3</v>
      </c>
      <c r="E35" s="5"/>
    </row>
    <row r="36" spans="1:7" ht="15.75" customHeight="1" x14ac:dyDescent="0.3">
      <c r="C36" s="47">
        <v>1089.23</v>
      </c>
      <c r="D36" s="40">
        <f t="shared" si="0"/>
        <v>9.7687709889520292E-3</v>
      </c>
      <c r="E36" s="5"/>
    </row>
    <row r="37" spans="1:7" ht="15.75" customHeight="1" x14ac:dyDescent="0.3">
      <c r="C37" s="47">
        <v>1072.6400000000001</v>
      </c>
      <c r="D37" s="40">
        <f t="shared" si="0"/>
        <v>-5.6109595644725282E-3</v>
      </c>
      <c r="E37" s="5"/>
    </row>
    <row r="38" spans="1:7" ht="15.75" customHeight="1" x14ac:dyDescent="0.3">
      <c r="C38" s="47">
        <v>1073.82</v>
      </c>
      <c r="D38" s="40">
        <f t="shared" si="0"/>
        <v>-4.5170426233611021E-3</v>
      </c>
      <c r="E38" s="5"/>
    </row>
    <row r="39" spans="1:7" ht="15.75" customHeight="1" x14ac:dyDescent="0.3">
      <c r="C39" s="47">
        <v>1073.8699999999999</v>
      </c>
      <c r="D39" s="40">
        <f t="shared" si="0"/>
        <v>-4.4706902106021792E-3</v>
      </c>
      <c r="E39" s="5"/>
    </row>
    <row r="40" spans="1:7" ht="15.75" customHeight="1" x14ac:dyDescent="0.3">
      <c r="C40" s="47">
        <v>1063.3900000000001</v>
      </c>
      <c r="D40" s="40">
        <f t="shared" si="0"/>
        <v>-1.4186155924881079E-2</v>
      </c>
      <c r="E40" s="5"/>
    </row>
    <row r="41" spans="1:7" ht="15.75" customHeight="1" x14ac:dyDescent="0.3">
      <c r="C41" s="47">
        <v>1077.51</v>
      </c>
      <c r="D41" s="40">
        <f t="shared" si="0"/>
        <v>-1.0962345617494245E-3</v>
      </c>
      <c r="E41" s="5"/>
    </row>
    <row r="42" spans="1:7" ht="15.75" customHeight="1" x14ac:dyDescent="0.3">
      <c r="C42" s="47">
        <v>1078.24</v>
      </c>
      <c r="D42" s="40">
        <f t="shared" si="0"/>
        <v>-4.1948933546851651E-4</v>
      </c>
      <c r="E42" s="5"/>
    </row>
    <row r="43" spans="1:7" ht="16.5" customHeight="1" x14ac:dyDescent="0.3">
      <c r="C43" s="48">
        <v>1082.6500000000001</v>
      </c>
      <c r="D43" s="41">
        <f t="shared" si="0"/>
        <v>3.6687934698722848E-3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21573.85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1078.6924999999999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6">
        <f>C46</f>
        <v>1078.6924999999999</v>
      </c>
      <c r="C49" s="45">
        <f>-IF(C46&lt;=80,10%,IF(C46&lt;250,7.5%,5%))</f>
        <v>-0.05</v>
      </c>
      <c r="D49" s="33">
        <f>IF(C46&lt;=80,C46*0.9,IF(C46&lt;250,C46*0.925,C46*0.95))</f>
        <v>1024.7578749999998</v>
      </c>
    </row>
    <row r="50" spans="1:6" ht="17.25" customHeight="1" x14ac:dyDescent="0.3">
      <c r="B50" s="517"/>
      <c r="C50" s="46">
        <f>IF(C46&lt;=80, 10%, IF(C46&lt;250, 7.5%, 5%))</f>
        <v>0.05</v>
      </c>
      <c r="D50" s="33">
        <f>IF(C46&lt;=80, C46*1.1, IF(C46&lt;250, C46*1.075, C46*1.05))</f>
        <v>1132.627125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0" zoomScaleNormal="40" zoomScalePageLayoutView="50" workbookViewId="0">
      <selection activeCell="A46" sqref="A46:B4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4" t="s">
        <v>45</v>
      </c>
      <c r="B1" s="554"/>
      <c r="C1" s="554"/>
      <c r="D1" s="554"/>
      <c r="E1" s="554"/>
      <c r="F1" s="554"/>
      <c r="G1" s="554"/>
      <c r="H1" s="554"/>
      <c r="I1" s="554"/>
    </row>
    <row r="2" spans="1:9" ht="18.7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</row>
    <row r="3" spans="1:9" ht="18.7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</row>
    <row r="4" spans="1:9" ht="18.75" customHeight="1" x14ac:dyDescent="0.25">
      <c r="A4" s="554"/>
      <c r="B4" s="554"/>
      <c r="C4" s="554"/>
      <c r="D4" s="554"/>
      <c r="E4" s="554"/>
      <c r="F4" s="554"/>
      <c r="G4" s="554"/>
      <c r="H4" s="554"/>
      <c r="I4" s="554"/>
    </row>
    <row r="5" spans="1:9" ht="18.75" customHeight="1" x14ac:dyDescent="0.25">
      <c r="A5" s="554"/>
      <c r="B5" s="554"/>
      <c r="C5" s="554"/>
      <c r="D5" s="554"/>
      <c r="E5" s="554"/>
      <c r="F5" s="554"/>
      <c r="G5" s="554"/>
      <c r="H5" s="554"/>
      <c r="I5" s="554"/>
    </row>
    <row r="6" spans="1:9" ht="18.75" customHeight="1" x14ac:dyDescent="0.25">
      <c r="A6" s="554"/>
      <c r="B6" s="554"/>
      <c r="C6" s="554"/>
      <c r="D6" s="554"/>
      <c r="E6" s="554"/>
      <c r="F6" s="554"/>
      <c r="G6" s="554"/>
      <c r="H6" s="554"/>
      <c r="I6" s="554"/>
    </row>
    <row r="7" spans="1:9" ht="18.75" customHeight="1" x14ac:dyDescent="0.25">
      <c r="A7" s="554"/>
      <c r="B7" s="554"/>
      <c r="C7" s="554"/>
      <c r="D7" s="554"/>
      <c r="E7" s="554"/>
      <c r="F7" s="554"/>
      <c r="G7" s="554"/>
      <c r="H7" s="554"/>
      <c r="I7" s="554"/>
    </row>
    <row r="8" spans="1:9" x14ac:dyDescent="0.25">
      <c r="A8" s="555" t="s">
        <v>46</v>
      </c>
      <c r="B8" s="555"/>
      <c r="C8" s="555"/>
      <c r="D8" s="555"/>
      <c r="E8" s="555"/>
      <c r="F8" s="555"/>
      <c r="G8" s="555"/>
      <c r="H8" s="555"/>
      <c r="I8" s="555"/>
    </row>
    <row r="9" spans="1:9" x14ac:dyDescent="0.25">
      <c r="A9" s="555"/>
      <c r="B9" s="555"/>
      <c r="C9" s="555"/>
      <c r="D9" s="555"/>
      <c r="E9" s="555"/>
      <c r="F9" s="555"/>
      <c r="G9" s="555"/>
      <c r="H9" s="555"/>
      <c r="I9" s="555"/>
    </row>
    <row r="10" spans="1:9" x14ac:dyDescent="0.25">
      <c r="A10" s="555"/>
      <c r="B10" s="555"/>
      <c r="C10" s="555"/>
      <c r="D10" s="555"/>
      <c r="E10" s="555"/>
      <c r="F10" s="555"/>
      <c r="G10" s="555"/>
      <c r="H10" s="555"/>
      <c r="I10" s="555"/>
    </row>
    <row r="11" spans="1:9" x14ac:dyDescent="0.25">
      <c r="A11" s="555"/>
      <c r="B11" s="555"/>
      <c r="C11" s="555"/>
      <c r="D11" s="555"/>
      <c r="E11" s="555"/>
      <c r="F11" s="555"/>
      <c r="G11" s="555"/>
      <c r="H11" s="555"/>
      <c r="I11" s="555"/>
    </row>
    <row r="12" spans="1:9" x14ac:dyDescent="0.25">
      <c r="A12" s="555"/>
      <c r="B12" s="555"/>
      <c r="C12" s="555"/>
      <c r="D12" s="555"/>
      <c r="E12" s="555"/>
      <c r="F12" s="555"/>
      <c r="G12" s="555"/>
      <c r="H12" s="555"/>
      <c r="I12" s="555"/>
    </row>
    <row r="13" spans="1:9" x14ac:dyDescent="0.25">
      <c r="A13" s="555"/>
      <c r="B13" s="555"/>
      <c r="C13" s="555"/>
      <c r="D13" s="555"/>
      <c r="E13" s="555"/>
      <c r="F13" s="555"/>
      <c r="G13" s="555"/>
      <c r="H13" s="555"/>
      <c r="I13" s="555"/>
    </row>
    <row r="14" spans="1:9" x14ac:dyDescent="0.25">
      <c r="A14" s="555"/>
      <c r="B14" s="555"/>
      <c r="C14" s="555"/>
      <c r="D14" s="555"/>
      <c r="E14" s="555"/>
      <c r="F14" s="555"/>
      <c r="G14" s="555"/>
      <c r="H14" s="555"/>
      <c r="I14" s="555"/>
    </row>
    <row r="15" spans="1:9" ht="19.5" customHeight="1" x14ac:dyDescent="0.3">
      <c r="A15" s="50"/>
    </row>
    <row r="16" spans="1:9" ht="19.5" customHeight="1" x14ac:dyDescent="0.3">
      <c r="A16" s="527" t="s">
        <v>31</v>
      </c>
      <c r="B16" s="528"/>
      <c r="C16" s="528"/>
      <c r="D16" s="528"/>
      <c r="E16" s="528"/>
      <c r="F16" s="528"/>
      <c r="G16" s="528"/>
      <c r="H16" s="529"/>
    </row>
    <row r="17" spans="1:14" ht="20.25" customHeight="1" x14ac:dyDescent="0.25">
      <c r="A17" s="530" t="s">
        <v>47</v>
      </c>
      <c r="B17" s="530"/>
      <c r="C17" s="530"/>
      <c r="D17" s="530"/>
      <c r="E17" s="530"/>
      <c r="F17" s="530"/>
      <c r="G17" s="530"/>
      <c r="H17" s="530"/>
    </row>
    <row r="18" spans="1:14" ht="26.25" customHeight="1" x14ac:dyDescent="0.4">
      <c r="A18" s="52" t="s">
        <v>33</v>
      </c>
      <c r="B18" s="531" t="s">
        <v>5</v>
      </c>
      <c r="C18" s="531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26" t="s">
        <v>133</v>
      </c>
      <c r="C20" s="52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26" t="s">
        <v>11</v>
      </c>
      <c r="C21" s="526"/>
      <c r="D21" s="526"/>
      <c r="E21" s="526"/>
      <c r="F21" s="526"/>
      <c r="G21" s="526"/>
      <c r="H21" s="526"/>
      <c r="I21" s="56"/>
    </row>
    <row r="22" spans="1:14" ht="26.25" customHeight="1" x14ac:dyDescent="0.4">
      <c r="A22" s="52" t="s">
        <v>37</v>
      </c>
      <c r="B22" s="57">
        <v>42718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42720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26" t="s">
        <v>133</v>
      </c>
      <c r="C26" s="526"/>
    </row>
    <row r="27" spans="1:14" ht="26.25" customHeight="1" x14ac:dyDescent="0.4">
      <c r="A27" s="61" t="s">
        <v>48</v>
      </c>
      <c r="B27" s="532" t="s">
        <v>134</v>
      </c>
      <c r="C27" s="532"/>
    </row>
    <row r="28" spans="1:14" ht="27" customHeight="1" x14ac:dyDescent="0.4">
      <c r="A28" s="61" t="s">
        <v>6</v>
      </c>
      <c r="B28" s="62">
        <v>99.28</v>
      </c>
    </row>
    <row r="29" spans="1:14" s="3" customFormat="1" ht="27" customHeight="1" x14ac:dyDescent="0.4">
      <c r="A29" s="61" t="s">
        <v>49</v>
      </c>
      <c r="B29" s="63">
        <v>0</v>
      </c>
      <c r="C29" s="533" t="s">
        <v>50</v>
      </c>
      <c r="D29" s="534"/>
      <c r="E29" s="534"/>
      <c r="F29" s="534"/>
      <c r="G29" s="53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99.28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6" t="s">
        <v>53</v>
      </c>
      <c r="D31" s="537"/>
      <c r="E31" s="537"/>
      <c r="F31" s="537"/>
      <c r="G31" s="537"/>
      <c r="H31" s="53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6" t="s">
        <v>55</v>
      </c>
      <c r="D32" s="537"/>
      <c r="E32" s="537"/>
      <c r="F32" s="537"/>
      <c r="G32" s="537"/>
      <c r="H32" s="53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39" t="s">
        <v>59</v>
      </c>
      <c r="E36" s="540"/>
      <c r="F36" s="539" t="s">
        <v>60</v>
      </c>
      <c r="G36" s="54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51234046</v>
      </c>
      <c r="E38" s="85">
        <f>IF(ISBLANK(D38),"-",$D$48/$D$45*D38)</f>
        <v>50874288.469090827</v>
      </c>
      <c r="F38" s="84">
        <v>49163027</v>
      </c>
      <c r="G38" s="86">
        <f>IF(ISBLANK(F38),"-",$D$48/$F$45*F38)</f>
        <v>51582883.217499338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50995783</v>
      </c>
      <c r="E39" s="90">
        <f>IF(ISBLANK(D39),"-",$D$48/$D$45*D39)</f>
        <v>50637698.51495152</v>
      </c>
      <c r="F39" s="89">
        <v>49241380</v>
      </c>
      <c r="G39" s="91">
        <f>IF(ISBLANK(F39),"-",$D$48/$F$45*F39)</f>
        <v>51665092.835079245</v>
      </c>
      <c r="I39" s="543">
        <f>ABS((F43/D43*D42)-F42)/D42</f>
        <v>1.5640138031384913E-2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51126463</v>
      </c>
      <c r="E40" s="90">
        <f>IF(ISBLANK(D40),"-",$D$48/$D$45*D40)</f>
        <v>50767460.900243931</v>
      </c>
      <c r="F40" s="89">
        <v>49129821</v>
      </c>
      <c r="G40" s="91">
        <f>IF(ISBLANK(F40),"-",$D$48/$F$45*F40)</f>
        <v>51548042.783037879</v>
      </c>
      <c r="I40" s="54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51118764</v>
      </c>
      <c r="E42" s="100">
        <f>AVERAGE(E38:E41)</f>
        <v>50759815.961428761</v>
      </c>
      <c r="F42" s="99">
        <f>AVERAGE(F38:F41)</f>
        <v>49178076</v>
      </c>
      <c r="G42" s="101">
        <f>AVERAGE(G38:G41)</f>
        <v>51598672.945205487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16.23</v>
      </c>
      <c r="E43" s="92"/>
      <c r="F43" s="104">
        <v>15.36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16.23</v>
      </c>
      <c r="E44" s="107"/>
      <c r="F44" s="106">
        <f>F43*$B$34</f>
        <v>15.36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16.113143999999998</v>
      </c>
      <c r="E45" s="110"/>
      <c r="F45" s="109">
        <f>F44*$B$30/100</f>
        <v>15.249407999999999</v>
      </c>
      <c r="H45" s="102"/>
    </row>
    <row r="46" spans="1:14" ht="19.5" customHeight="1" x14ac:dyDescent="0.3">
      <c r="A46" s="544" t="s">
        <v>78</v>
      </c>
      <c r="B46" s="545"/>
      <c r="C46" s="105" t="s">
        <v>79</v>
      </c>
      <c r="D46" s="111">
        <f>D45/$B$45</f>
        <v>0.16113143999999999</v>
      </c>
      <c r="E46" s="112"/>
      <c r="F46" s="113">
        <f>F45/$B$45</f>
        <v>0.15249407999999998</v>
      </c>
      <c r="H46" s="102"/>
    </row>
    <row r="47" spans="1:14" ht="27" customHeight="1" x14ac:dyDescent="0.4">
      <c r="A47" s="546"/>
      <c r="B47" s="547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51179244.453317128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9.1263656480906029E-3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 Sulfamethoxazole 400 mg and Trimethoprim 80 mg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9">
        <f>Uniformity!C46</f>
        <v>1078.6924999999999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48" t="s">
        <v>94</v>
      </c>
      <c r="D60" s="551">
        <v>219.58</v>
      </c>
      <c r="E60" s="134">
        <v>1</v>
      </c>
      <c r="F60" s="135">
        <v>50742865</v>
      </c>
      <c r="G60" s="200">
        <f>IF(ISBLANK(F60),"-",(F60/$D$50*$D$47*$B$68)*($B$57/$D$60))</f>
        <v>779.30233084418774</v>
      </c>
      <c r="H60" s="218">
        <f t="shared" ref="H60:H71" si="0">IF(ISBLANK(F60),"-",(G60/$B$56)*100)</f>
        <v>97.412791355523467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49"/>
      <c r="D61" s="552"/>
      <c r="E61" s="136">
        <v>2</v>
      </c>
      <c r="F61" s="89">
        <v>51224428</v>
      </c>
      <c r="G61" s="201">
        <f>IF(ISBLANK(F61),"-",(F61/$D$50*$D$47*$B$68)*($B$57/$D$60))</f>
        <v>786.69811285902506</v>
      </c>
      <c r="H61" s="219">
        <f t="shared" si="0"/>
        <v>98.337264107378132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9"/>
      <c r="D62" s="552"/>
      <c r="E62" s="136">
        <v>3</v>
      </c>
      <c r="F62" s="137">
        <v>50861123</v>
      </c>
      <c r="G62" s="201">
        <f>IF(ISBLANK(F62),"-",(F62/$D$50*$D$47*$B$68)*($B$57/$D$60))</f>
        <v>781.11852185037105</v>
      </c>
      <c r="H62" s="219">
        <f t="shared" si="0"/>
        <v>97.639815231296382</v>
      </c>
      <c r="L62" s="64"/>
    </row>
    <row r="63" spans="1:12" ht="27" customHeight="1" x14ac:dyDescent="0.4">
      <c r="A63" s="76" t="s">
        <v>97</v>
      </c>
      <c r="B63" s="77">
        <v>1</v>
      </c>
      <c r="C63" s="550"/>
      <c r="D63" s="55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8" t="s">
        <v>99</v>
      </c>
      <c r="D64" s="551">
        <v>206.46</v>
      </c>
      <c r="E64" s="134">
        <v>1</v>
      </c>
      <c r="F64" s="135">
        <v>47898544</v>
      </c>
      <c r="G64" s="200">
        <f>IF(ISBLANK(F64),"-",(F64/$D$50*$D$47*$B$68)*($B$57/$D$64))</f>
        <v>782.36634596751742</v>
      </c>
      <c r="H64" s="218">
        <f t="shared" si="0"/>
        <v>97.795793245939677</v>
      </c>
    </row>
    <row r="65" spans="1:8" ht="26.25" customHeight="1" x14ac:dyDescent="0.4">
      <c r="A65" s="76" t="s">
        <v>100</v>
      </c>
      <c r="B65" s="77">
        <v>1</v>
      </c>
      <c r="C65" s="549"/>
      <c r="D65" s="552"/>
      <c r="E65" s="136">
        <v>2</v>
      </c>
      <c r="F65" s="89">
        <v>47821461</v>
      </c>
      <c r="G65" s="201">
        <f>IF(ISBLANK(F65),"-",(F65/$D$50*$D$47*$B$68)*($B$57/$D$64))</f>
        <v>781.10728587904782</v>
      </c>
      <c r="H65" s="219">
        <f t="shared" si="0"/>
        <v>97.638410734880978</v>
      </c>
    </row>
    <row r="66" spans="1:8" ht="26.25" customHeight="1" x14ac:dyDescent="0.4">
      <c r="A66" s="76" t="s">
        <v>101</v>
      </c>
      <c r="B66" s="77">
        <v>1</v>
      </c>
      <c r="C66" s="549"/>
      <c r="D66" s="552"/>
      <c r="E66" s="136">
        <v>3</v>
      </c>
      <c r="F66" s="89">
        <v>48097531</v>
      </c>
      <c r="G66" s="201">
        <f>IF(ISBLANK(F66),"-",(F66/$D$50*$D$47*$B$68)*($B$57/$D$64))</f>
        <v>785.61656443104823</v>
      </c>
      <c r="H66" s="219">
        <f t="shared" si="0"/>
        <v>98.202070553881029</v>
      </c>
    </row>
    <row r="67" spans="1:8" ht="27" customHeight="1" x14ac:dyDescent="0.4">
      <c r="A67" s="76" t="s">
        <v>102</v>
      </c>
      <c r="B67" s="77">
        <v>1</v>
      </c>
      <c r="C67" s="550"/>
      <c r="D67" s="55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548" t="s">
        <v>104</v>
      </c>
      <c r="D68" s="551">
        <v>212.15</v>
      </c>
      <c r="E68" s="134">
        <v>1</v>
      </c>
      <c r="F68" s="135">
        <v>48902021</v>
      </c>
      <c r="G68" s="200">
        <f>IF(ISBLANK(F68),"-",(F68/$D$50*$D$47*$B$68)*($B$57/$D$68))</f>
        <v>777.33378427393768</v>
      </c>
      <c r="H68" s="219">
        <f t="shared" si="0"/>
        <v>97.16672303424221</v>
      </c>
    </row>
    <row r="69" spans="1:8" ht="27" customHeight="1" x14ac:dyDescent="0.4">
      <c r="A69" s="124" t="s">
        <v>105</v>
      </c>
      <c r="B69" s="141">
        <f>(D47*B68)/B56*B57</f>
        <v>215.73849999999999</v>
      </c>
      <c r="C69" s="549"/>
      <c r="D69" s="552"/>
      <c r="E69" s="136">
        <v>2</v>
      </c>
      <c r="F69" s="89">
        <v>48927430</v>
      </c>
      <c r="G69" s="201">
        <f>IF(ISBLANK(F69),"-",(F69/$D$50*$D$47*$B$68)*($B$57/$D$68))</f>
        <v>777.73767911756022</v>
      </c>
      <c r="H69" s="219">
        <f t="shared" si="0"/>
        <v>97.217209889695027</v>
      </c>
    </row>
    <row r="70" spans="1:8" ht="26.25" customHeight="1" x14ac:dyDescent="0.4">
      <c r="A70" s="561" t="s">
        <v>78</v>
      </c>
      <c r="B70" s="562"/>
      <c r="C70" s="549"/>
      <c r="D70" s="552"/>
      <c r="E70" s="136">
        <v>3</v>
      </c>
      <c r="F70" s="89">
        <v>49108155</v>
      </c>
      <c r="G70" s="201">
        <f>IF(ISBLANK(F70),"-",(F70/$D$50*$D$47*$B$68)*($B$57/$D$68))</f>
        <v>780.610436629216</v>
      </c>
      <c r="H70" s="219">
        <f t="shared" si="0"/>
        <v>97.576304578652</v>
      </c>
    </row>
    <row r="71" spans="1:8" ht="27" customHeight="1" x14ac:dyDescent="0.4">
      <c r="A71" s="563"/>
      <c r="B71" s="564"/>
      <c r="C71" s="560"/>
      <c r="D71" s="55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781.3212290946567</v>
      </c>
      <c r="H72" s="221">
        <f>AVERAGE(H60:H71)</f>
        <v>97.665153636832088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4.0941924326659317E-3</v>
      </c>
      <c r="H73" s="205">
        <f>STDEV(H60:H71)/H72</f>
        <v>4.0941924326659317E-3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56" t="str">
        <f>B26</f>
        <v xml:space="preserve">Sulfamethoxazole </v>
      </c>
      <c r="D76" s="556"/>
      <c r="E76" s="150" t="s">
        <v>108</v>
      </c>
      <c r="F76" s="150"/>
      <c r="G76" s="151">
        <f>H72</f>
        <v>97.665153636832088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42" t="str">
        <f>B26</f>
        <v xml:space="preserve">Sulfamethoxazole </v>
      </c>
      <c r="C79" s="542"/>
    </row>
    <row r="80" spans="1:8" ht="26.25" customHeight="1" x14ac:dyDescent="0.4">
      <c r="A80" s="61" t="s">
        <v>48</v>
      </c>
      <c r="B80" s="542" t="str">
        <f>B27</f>
        <v>NDQE201607046</v>
      </c>
      <c r="C80" s="542"/>
    </row>
    <row r="81" spans="1:12" ht="27" customHeight="1" x14ac:dyDescent="0.4">
      <c r="A81" s="61" t="s">
        <v>6</v>
      </c>
      <c r="B81" s="153">
        <f>B28</f>
        <v>99.28</v>
      </c>
    </row>
    <row r="82" spans="1:12" s="3" customFormat="1" ht="27" customHeight="1" x14ac:dyDescent="0.4">
      <c r="A82" s="61" t="s">
        <v>49</v>
      </c>
      <c r="B82" s="63">
        <v>0</v>
      </c>
      <c r="C82" s="533" t="s">
        <v>50</v>
      </c>
      <c r="D82" s="534"/>
      <c r="E82" s="534"/>
      <c r="F82" s="534"/>
      <c r="G82" s="53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99.28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6" t="s">
        <v>111</v>
      </c>
      <c r="D84" s="537"/>
      <c r="E84" s="537"/>
      <c r="F84" s="537"/>
      <c r="G84" s="537"/>
      <c r="H84" s="53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6" t="s">
        <v>112</v>
      </c>
      <c r="D85" s="537"/>
      <c r="E85" s="537"/>
      <c r="F85" s="537"/>
      <c r="G85" s="537"/>
      <c r="H85" s="53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539" t="s">
        <v>60</v>
      </c>
      <c r="G89" s="54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51234046</v>
      </c>
      <c r="E91" s="85">
        <f>IF(ISBLANK(D91),"-",$D$101/$D$98*D91)</f>
        <v>56526987.187878706</v>
      </c>
      <c r="F91" s="84">
        <v>49163027</v>
      </c>
      <c r="G91" s="86">
        <f>IF(ISBLANK(F91),"-",$D$101/$F$98*F91)</f>
        <v>57314314.68611037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50995783</v>
      </c>
      <c r="E92" s="90">
        <f>IF(ISBLANK(D92),"-",$D$101/$D$98*D92)</f>
        <v>56264109.461057253</v>
      </c>
      <c r="F92" s="89">
        <v>49241380</v>
      </c>
      <c r="G92" s="91">
        <f>IF(ISBLANK(F92),"-",$D$101/$F$98*F92)</f>
        <v>57405658.705643602</v>
      </c>
      <c r="I92" s="543">
        <f>ABS((F96/D96*D95)-F95)/D95</f>
        <v>1.5640138031384913E-2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51126463</v>
      </c>
      <c r="E93" s="90">
        <f>IF(ISBLANK(D93),"-",$D$101/$D$98*D93)</f>
        <v>56408289.889159925</v>
      </c>
      <c r="F93" s="89">
        <v>49129821</v>
      </c>
      <c r="G93" s="91">
        <f>IF(ISBLANK(F93),"-",$D$101/$F$98*F93)</f>
        <v>57275603.09226431</v>
      </c>
      <c r="I93" s="54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51118764</v>
      </c>
      <c r="E95" s="100">
        <f>AVERAGE(E91:E94)</f>
        <v>56399795.512698628</v>
      </c>
      <c r="F95" s="163">
        <f>AVERAGE(F91:F94)</f>
        <v>49178076</v>
      </c>
      <c r="G95" s="164">
        <f>AVERAGE(G91:G94)</f>
        <v>57331858.828006089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16.23</v>
      </c>
      <c r="E96" s="92"/>
      <c r="F96" s="104">
        <v>15.36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16.23</v>
      </c>
      <c r="E97" s="107"/>
      <c r="F97" s="106">
        <f>F96*$B$87</f>
        <v>15.36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16.113143999999998</v>
      </c>
      <c r="E98" s="110"/>
      <c r="F98" s="109">
        <f>F97*$B$83/100</f>
        <v>15.249407999999999</v>
      </c>
    </row>
    <row r="99" spans="1:10" ht="19.5" customHeight="1" x14ac:dyDescent="0.3">
      <c r="A99" s="544" t="s">
        <v>78</v>
      </c>
      <c r="B99" s="558"/>
      <c r="C99" s="167" t="s">
        <v>116</v>
      </c>
      <c r="D99" s="171">
        <f>D98/$B$98</f>
        <v>0.16113143999999999</v>
      </c>
      <c r="E99" s="110"/>
      <c r="F99" s="113">
        <f>F98/$B$98</f>
        <v>0.15249407999999998</v>
      </c>
      <c r="G99" s="172"/>
      <c r="H99" s="102"/>
    </row>
    <row r="100" spans="1:10" ht="19.5" customHeight="1" x14ac:dyDescent="0.3">
      <c r="A100" s="546"/>
      <c r="B100" s="559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56865827.170352362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9.1263656480905057E-3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55526585</v>
      </c>
      <c r="E108" s="202">
        <f t="shared" ref="E108:E113" si="1">IF(ISBLANK(D108),"-",D108/$D$103*$D$100*$B$116)</f>
        <v>781.15926929063528</v>
      </c>
      <c r="F108" s="229">
        <f t="shared" ref="F108:F113" si="2">IF(ISBLANK(D108), "-", (E108/$B$56)*100)</f>
        <v>97.64490866132941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50287591</v>
      </c>
      <c r="E109" s="203">
        <f t="shared" si="1"/>
        <v>707.4560382192841</v>
      </c>
      <c r="F109" s="230">
        <f t="shared" si="2"/>
        <v>88.432004777410512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50430861</v>
      </c>
      <c r="E110" s="203">
        <f t="shared" si="1"/>
        <v>709.47158966209781</v>
      </c>
      <c r="F110" s="230">
        <f t="shared" si="2"/>
        <v>88.683948707762227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50338980</v>
      </c>
      <c r="E111" s="203">
        <f t="shared" si="1"/>
        <v>708.17898910289364</v>
      </c>
      <c r="F111" s="230">
        <f t="shared" si="2"/>
        <v>88.522373637861705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50320732</v>
      </c>
      <c r="E112" s="203">
        <f t="shared" si="1"/>
        <v>707.92227253467661</v>
      </c>
      <c r="F112" s="230">
        <f t="shared" si="2"/>
        <v>88.490284066834576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50333267</v>
      </c>
      <c r="E113" s="204">
        <f t="shared" si="1"/>
        <v>708.09861745919443</v>
      </c>
      <c r="F113" s="231">
        <f t="shared" si="2"/>
        <v>88.512327182399304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720.38112937813037</v>
      </c>
      <c r="F115" s="233">
        <f>AVERAGE(F108:F113)</f>
        <v>90.047641172266296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4.1342918902763121E-2</v>
      </c>
      <c r="F116" s="187">
        <f>STDEV(F108:F113)/F115</f>
        <v>4.1342918902763121E-2</v>
      </c>
      <c r="I116" s="50"/>
    </row>
    <row r="117" spans="1:10" ht="27" customHeight="1" x14ac:dyDescent="0.4">
      <c r="A117" s="544" t="s">
        <v>78</v>
      </c>
      <c r="B117" s="54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46"/>
      <c r="B118" s="547"/>
      <c r="C118" s="50"/>
      <c r="D118" s="212"/>
      <c r="E118" s="524" t="s">
        <v>123</v>
      </c>
      <c r="F118" s="52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707.4560382192841</v>
      </c>
      <c r="F119" s="234">
        <f>MIN(F108:F113)</f>
        <v>88.432004777410512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781.15926929063528</v>
      </c>
      <c r="F120" s="235">
        <f>MAX(F108:F113)</f>
        <v>97.64490866132941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56" t="str">
        <f>B26</f>
        <v xml:space="preserve">Sulfamethoxazole </v>
      </c>
      <c r="D124" s="556"/>
      <c r="E124" s="150" t="s">
        <v>127</v>
      </c>
      <c r="F124" s="150"/>
      <c r="G124" s="236">
        <f>F115</f>
        <v>90.047641172266296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88.432004777410512</v>
      </c>
      <c r="E125" s="161" t="s">
        <v>130</v>
      </c>
      <c r="F125" s="236">
        <f>MAX(F108:F113)</f>
        <v>97.64490866132941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57" t="s">
        <v>26</v>
      </c>
      <c r="C127" s="557"/>
      <c r="E127" s="156" t="s">
        <v>27</v>
      </c>
      <c r="F127" s="191"/>
      <c r="G127" s="557" t="s">
        <v>28</v>
      </c>
      <c r="H127" s="55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4" t="s">
        <v>45</v>
      </c>
      <c r="B1" s="554"/>
      <c r="C1" s="554"/>
      <c r="D1" s="554"/>
      <c r="E1" s="554"/>
      <c r="F1" s="554"/>
      <c r="G1" s="554"/>
      <c r="H1" s="554"/>
      <c r="I1" s="554"/>
    </row>
    <row r="2" spans="1:9" ht="18.7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</row>
    <row r="3" spans="1:9" ht="18.7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</row>
    <row r="4" spans="1:9" ht="18.75" customHeight="1" x14ac:dyDescent="0.25">
      <c r="A4" s="554"/>
      <c r="B4" s="554"/>
      <c r="C4" s="554"/>
      <c r="D4" s="554"/>
      <c r="E4" s="554"/>
      <c r="F4" s="554"/>
      <c r="G4" s="554"/>
      <c r="H4" s="554"/>
      <c r="I4" s="554"/>
    </row>
    <row r="5" spans="1:9" ht="18.75" customHeight="1" x14ac:dyDescent="0.25">
      <c r="A5" s="554"/>
      <c r="B5" s="554"/>
      <c r="C5" s="554"/>
      <c r="D5" s="554"/>
      <c r="E5" s="554"/>
      <c r="F5" s="554"/>
      <c r="G5" s="554"/>
      <c r="H5" s="554"/>
      <c r="I5" s="554"/>
    </row>
    <row r="6" spans="1:9" ht="18.75" customHeight="1" x14ac:dyDescent="0.25">
      <c r="A6" s="554"/>
      <c r="B6" s="554"/>
      <c r="C6" s="554"/>
      <c r="D6" s="554"/>
      <c r="E6" s="554"/>
      <c r="F6" s="554"/>
      <c r="G6" s="554"/>
      <c r="H6" s="554"/>
      <c r="I6" s="554"/>
    </row>
    <row r="7" spans="1:9" ht="18.75" customHeight="1" x14ac:dyDescent="0.25">
      <c r="A7" s="554"/>
      <c r="B7" s="554"/>
      <c r="C7" s="554"/>
      <c r="D7" s="554"/>
      <c r="E7" s="554"/>
      <c r="F7" s="554"/>
      <c r="G7" s="554"/>
      <c r="H7" s="554"/>
      <c r="I7" s="554"/>
    </row>
    <row r="8" spans="1:9" x14ac:dyDescent="0.25">
      <c r="A8" s="555" t="s">
        <v>46</v>
      </c>
      <c r="B8" s="555"/>
      <c r="C8" s="555"/>
      <c r="D8" s="555"/>
      <c r="E8" s="555"/>
      <c r="F8" s="555"/>
      <c r="G8" s="555"/>
      <c r="H8" s="555"/>
      <c r="I8" s="555"/>
    </row>
    <row r="9" spans="1:9" x14ac:dyDescent="0.25">
      <c r="A9" s="555"/>
      <c r="B9" s="555"/>
      <c r="C9" s="555"/>
      <c r="D9" s="555"/>
      <c r="E9" s="555"/>
      <c r="F9" s="555"/>
      <c r="G9" s="555"/>
      <c r="H9" s="555"/>
      <c r="I9" s="555"/>
    </row>
    <row r="10" spans="1:9" x14ac:dyDescent="0.25">
      <c r="A10" s="555"/>
      <c r="B10" s="555"/>
      <c r="C10" s="555"/>
      <c r="D10" s="555"/>
      <c r="E10" s="555"/>
      <c r="F10" s="555"/>
      <c r="G10" s="555"/>
      <c r="H10" s="555"/>
      <c r="I10" s="555"/>
    </row>
    <row r="11" spans="1:9" x14ac:dyDescent="0.25">
      <c r="A11" s="555"/>
      <c r="B11" s="555"/>
      <c r="C11" s="555"/>
      <c r="D11" s="555"/>
      <c r="E11" s="555"/>
      <c r="F11" s="555"/>
      <c r="G11" s="555"/>
      <c r="H11" s="555"/>
      <c r="I11" s="555"/>
    </row>
    <row r="12" spans="1:9" x14ac:dyDescent="0.25">
      <c r="A12" s="555"/>
      <c r="B12" s="555"/>
      <c r="C12" s="555"/>
      <c r="D12" s="555"/>
      <c r="E12" s="555"/>
      <c r="F12" s="555"/>
      <c r="G12" s="555"/>
      <c r="H12" s="555"/>
      <c r="I12" s="555"/>
    </row>
    <row r="13" spans="1:9" x14ac:dyDescent="0.25">
      <c r="A13" s="555"/>
      <c r="B13" s="555"/>
      <c r="C13" s="555"/>
      <c r="D13" s="555"/>
      <c r="E13" s="555"/>
      <c r="F13" s="555"/>
      <c r="G13" s="555"/>
      <c r="H13" s="555"/>
      <c r="I13" s="555"/>
    </row>
    <row r="14" spans="1:9" x14ac:dyDescent="0.25">
      <c r="A14" s="555"/>
      <c r="B14" s="555"/>
      <c r="C14" s="555"/>
      <c r="D14" s="555"/>
      <c r="E14" s="555"/>
      <c r="F14" s="555"/>
      <c r="G14" s="555"/>
      <c r="H14" s="555"/>
      <c r="I14" s="555"/>
    </row>
    <row r="15" spans="1:9" ht="19.5" customHeight="1" x14ac:dyDescent="0.3">
      <c r="A15" s="237"/>
    </row>
    <row r="16" spans="1:9" ht="19.5" customHeight="1" x14ac:dyDescent="0.3">
      <c r="A16" s="527" t="s">
        <v>31</v>
      </c>
      <c r="B16" s="528"/>
      <c r="C16" s="528"/>
      <c r="D16" s="528"/>
      <c r="E16" s="528"/>
      <c r="F16" s="528"/>
      <c r="G16" s="528"/>
      <c r="H16" s="529"/>
    </row>
    <row r="17" spans="1:14" ht="20.25" customHeight="1" x14ac:dyDescent="0.25">
      <c r="A17" s="530" t="s">
        <v>47</v>
      </c>
      <c r="B17" s="530"/>
      <c r="C17" s="530"/>
      <c r="D17" s="530"/>
      <c r="E17" s="530"/>
      <c r="F17" s="530"/>
      <c r="G17" s="530"/>
      <c r="H17" s="530"/>
    </row>
    <row r="18" spans="1:14" ht="26.25" customHeight="1" x14ac:dyDescent="0.4">
      <c r="A18" s="239" t="s">
        <v>33</v>
      </c>
      <c r="B18" s="531" t="s">
        <v>5</v>
      </c>
      <c r="C18" s="531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26" t="s">
        <v>131</v>
      </c>
      <c r="C20" s="526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26" t="s">
        <v>11</v>
      </c>
      <c r="C21" s="526"/>
      <c r="D21" s="526"/>
      <c r="E21" s="526"/>
      <c r="F21" s="526"/>
      <c r="G21" s="526"/>
      <c r="H21" s="526"/>
      <c r="I21" s="243"/>
    </row>
    <row r="22" spans="1:14" ht="26.25" customHeight="1" x14ac:dyDescent="0.4">
      <c r="A22" s="239" t="s">
        <v>37</v>
      </c>
      <c r="B22" s="244">
        <v>42718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42720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31" t="s">
        <v>131</v>
      </c>
      <c r="C26" s="531"/>
    </row>
    <row r="27" spans="1:14" ht="26.25" customHeight="1" x14ac:dyDescent="0.4">
      <c r="A27" s="248" t="s">
        <v>48</v>
      </c>
      <c r="B27" s="532" t="s">
        <v>132</v>
      </c>
      <c r="C27" s="532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533" t="s">
        <v>50</v>
      </c>
      <c r="D29" s="534"/>
      <c r="E29" s="534"/>
      <c r="F29" s="534"/>
      <c r="G29" s="535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536" t="s">
        <v>53</v>
      </c>
      <c r="D31" s="537"/>
      <c r="E31" s="537"/>
      <c r="F31" s="537"/>
      <c r="G31" s="537"/>
      <c r="H31" s="538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536" t="s">
        <v>55</v>
      </c>
      <c r="D32" s="537"/>
      <c r="E32" s="537"/>
      <c r="F32" s="537"/>
      <c r="G32" s="537"/>
      <c r="H32" s="538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539" t="s">
        <v>59</v>
      </c>
      <c r="E36" s="540"/>
      <c r="F36" s="539" t="s">
        <v>60</v>
      </c>
      <c r="G36" s="541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3608051</v>
      </c>
      <c r="E38" s="272">
        <f>IF(ISBLANK(D38),"-",$D$48/$D$45*D38)</f>
        <v>3788827.3178149024</v>
      </c>
      <c r="F38" s="271">
        <v>3811640</v>
      </c>
      <c r="G38" s="273">
        <f>IF(ISBLANK(F38),"-",$D$48/$F$45*F38)</f>
        <v>3819412.5044465493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3594682</v>
      </c>
      <c r="E39" s="277">
        <f>IF(ISBLANK(D39),"-",$D$48/$D$45*D39)</f>
        <v>3774788.4828838366</v>
      </c>
      <c r="F39" s="276">
        <v>3818916</v>
      </c>
      <c r="G39" s="278">
        <f>IF(ISBLANK(F39),"-",$D$48/$F$45*F39)</f>
        <v>3826703.341299545</v>
      </c>
      <c r="I39" s="543">
        <f>ABS((F43/D43*D42)-F42)/D42</f>
        <v>1.0162510839669502E-2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3604858</v>
      </c>
      <c r="E40" s="277">
        <f>IF(ISBLANK(D40),"-",$D$48/$D$45*D40)</f>
        <v>3785474.3370433492</v>
      </c>
      <c r="F40" s="276">
        <v>3805271</v>
      </c>
      <c r="G40" s="278">
        <f>IF(ISBLANK(F40),"-",$D$48/$F$45*F40)</f>
        <v>3813030.5171023039</v>
      </c>
      <c r="I40" s="543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3602530.3333333335</v>
      </c>
      <c r="E42" s="287">
        <f>AVERAGE(E38:E41)</f>
        <v>3783030.0459140292</v>
      </c>
      <c r="F42" s="286">
        <f>AVERAGE(F38:F41)</f>
        <v>3811942.3333333335</v>
      </c>
      <c r="G42" s="288">
        <f>AVERAGE(G38:G41)</f>
        <v>3819715.4542827993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19.18</v>
      </c>
      <c r="E43" s="279"/>
      <c r="F43" s="291">
        <v>20.100000000000001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19.18</v>
      </c>
      <c r="E44" s="294"/>
      <c r="F44" s="293">
        <f>F43*$B$34</f>
        <v>20.100000000000001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19.045739999999999</v>
      </c>
      <c r="E45" s="297"/>
      <c r="F45" s="296">
        <f>F44*$B$30/100</f>
        <v>19.959299999999999</v>
      </c>
      <c r="H45" s="289"/>
    </row>
    <row r="46" spans="1:14" ht="19.5" customHeight="1" x14ac:dyDescent="0.3">
      <c r="A46" s="544" t="s">
        <v>78</v>
      </c>
      <c r="B46" s="545"/>
      <c r="C46" s="292" t="s">
        <v>79</v>
      </c>
      <c r="D46" s="298">
        <f>D45/$B$45</f>
        <v>3.0473183999999997E-2</v>
      </c>
      <c r="E46" s="299"/>
      <c r="F46" s="300">
        <f>F45/$B$45</f>
        <v>3.1934879999999999E-2</v>
      </c>
      <c r="H46" s="289"/>
    </row>
    <row r="47" spans="1:14" ht="27" customHeight="1" x14ac:dyDescent="0.4">
      <c r="A47" s="546"/>
      <c r="B47" s="547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3801372.7500984143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5.5428859614134775E-3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 Sulfamethoxazole 400 mg and Trimethoprim 80 mg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 xml:space="preserve"> Trimethoprim</v>
      </c>
      <c r="H56" s="318"/>
    </row>
    <row r="57" spans="1:12" ht="18.75" x14ac:dyDescent="0.3">
      <c r="A57" s="315" t="s">
        <v>88</v>
      </c>
      <c r="B57" s="386">
        <f>Uniformity!C46</f>
        <v>1078.6924999999999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548" t="s">
        <v>94</v>
      </c>
      <c r="D60" s="551">
        <v>219.58</v>
      </c>
      <c r="E60" s="321">
        <v>1</v>
      </c>
      <c r="F60" s="322">
        <v>3819457</v>
      </c>
      <c r="G60" s="387">
        <f>IF(ISBLANK(F60),"-",(F60/$D$50*$D$47*$B$68)*($B$57/$D$60))</f>
        <v>157.94868865453165</v>
      </c>
      <c r="H60" s="405">
        <f t="shared" ref="H60:H71" si="0">IF(ISBLANK(F60),"-",(G60/$B$56)*100)</f>
        <v>98.717930409082271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549"/>
      <c r="D61" s="552"/>
      <c r="E61" s="323">
        <v>2</v>
      </c>
      <c r="F61" s="276">
        <v>3854660</v>
      </c>
      <c r="G61" s="388">
        <f>IF(ISBLANK(F61),"-",(F61/$D$50*$D$47*$B$68)*($B$57/$D$60))</f>
        <v>159.40446304515979</v>
      </c>
      <c r="H61" s="406">
        <f t="shared" si="0"/>
        <v>99.627789403224867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549"/>
      <c r="D62" s="552"/>
      <c r="E62" s="323">
        <v>3</v>
      </c>
      <c r="F62" s="324">
        <v>3831435</v>
      </c>
      <c r="G62" s="388">
        <f>IF(ISBLANK(F62),"-",(F62/$D$50*$D$47*$B$68)*($B$57/$D$60))</f>
        <v>158.44402330359407</v>
      </c>
      <c r="H62" s="406">
        <f t="shared" si="0"/>
        <v>99.027514564746284</v>
      </c>
      <c r="L62" s="251"/>
    </row>
    <row r="63" spans="1:12" ht="27" customHeight="1" x14ac:dyDescent="0.4">
      <c r="A63" s="263" t="s">
        <v>97</v>
      </c>
      <c r="B63" s="264">
        <v>1</v>
      </c>
      <c r="C63" s="550"/>
      <c r="D63" s="553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548" t="s">
        <v>99</v>
      </c>
      <c r="D64" s="551">
        <v>206.46</v>
      </c>
      <c r="E64" s="321">
        <v>1</v>
      </c>
      <c r="F64" s="322">
        <v>3590290</v>
      </c>
      <c r="G64" s="387">
        <f>IF(ISBLANK(F64),"-",(F64/$D$50*$D$47*$B$68)*($B$57/$D$64))</f>
        <v>157.90678332492325</v>
      </c>
      <c r="H64" s="405">
        <f t="shared" si="0"/>
        <v>98.691739578077033</v>
      </c>
    </row>
    <row r="65" spans="1:8" ht="26.25" customHeight="1" x14ac:dyDescent="0.4">
      <c r="A65" s="263" t="s">
        <v>100</v>
      </c>
      <c r="B65" s="264">
        <v>1</v>
      </c>
      <c r="C65" s="549"/>
      <c r="D65" s="552"/>
      <c r="E65" s="323">
        <v>2</v>
      </c>
      <c r="F65" s="276">
        <v>3587200</v>
      </c>
      <c r="G65" s="388">
        <f>IF(ISBLANK(F65),"-",(F65/$D$50*$D$47*$B$68)*($B$57/$D$64))</f>
        <v>157.77088010805943</v>
      </c>
      <c r="H65" s="406">
        <f t="shared" si="0"/>
        <v>98.606800067537151</v>
      </c>
    </row>
    <row r="66" spans="1:8" ht="26.25" customHeight="1" x14ac:dyDescent="0.4">
      <c r="A66" s="263" t="s">
        <v>101</v>
      </c>
      <c r="B66" s="264">
        <v>1</v>
      </c>
      <c r="C66" s="549"/>
      <c r="D66" s="552"/>
      <c r="E66" s="323">
        <v>3</v>
      </c>
      <c r="F66" s="276">
        <v>3609833</v>
      </c>
      <c r="G66" s="388">
        <f>IF(ISBLANK(F66),"-",(F66/$D$50*$D$47*$B$68)*($B$57/$D$64))</f>
        <v>158.76631619455748</v>
      </c>
      <c r="H66" s="406">
        <f t="shared" si="0"/>
        <v>99.228947621598422</v>
      </c>
    </row>
    <row r="67" spans="1:8" ht="27" customHeight="1" x14ac:dyDescent="0.4">
      <c r="A67" s="263" t="s">
        <v>102</v>
      </c>
      <c r="B67" s="264">
        <v>1</v>
      </c>
      <c r="C67" s="550"/>
      <c r="D67" s="553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548" t="s">
        <v>104</v>
      </c>
      <c r="D68" s="551">
        <v>212.15</v>
      </c>
      <c r="E68" s="321">
        <v>1</v>
      </c>
      <c r="F68" s="322">
        <v>3666886</v>
      </c>
      <c r="G68" s="387">
        <f>IF(ISBLANK(F68),"-",(F68/$D$50*$D$47*$B$68)*($B$57/$D$68))</f>
        <v>156.9500840321441</v>
      </c>
      <c r="H68" s="406">
        <f t="shared" si="0"/>
        <v>98.093802520090065</v>
      </c>
    </row>
    <row r="69" spans="1:8" ht="27" customHeight="1" x14ac:dyDescent="0.4">
      <c r="A69" s="311" t="s">
        <v>105</v>
      </c>
      <c r="B69" s="328">
        <f>(D47*B68)/B56*B57</f>
        <v>215.73849999999999</v>
      </c>
      <c r="C69" s="549"/>
      <c r="D69" s="552"/>
      <c r="E69" s="323">
        <v>2</v>
      </c>
      <c r="F69" s="276">
        <v>3672250</v>
      </c>
      <c r="G69" s="388">
        <f>IF(ISBLANK(F69),"-",(F69/$D$50*$D$47*$B$68)*($B$57/$D$68))</f>
        <v>157.17967400323906</v>
      </c>
      <c r="H69" s="406">
        <f t="shared" si="0"/>
        <v>98.237296252024407</v>
      </c>
    </row>
    <row r="70" spans="1:8" ht="26.25" customHeight="1" x14ac:dyDescent="0.4">
      <c r="A70" s="561" t="s">
        <v>78</v>
      </c>
      <c r="B70" s="562"/>
      <c r="C70" s="549"/>
      <c r="D70" s="552"/>
      <c r="E70" s="323">
        <v>3</v>
      </c>
      <c r="F70" s="276">
        <v>3692427</v>
      </c>
      <c r="G70" s="388">
        <f>IF(ISBLANK(F70),"-",(F70/$D$50*$D$47*$B$68)*($B$57/$D$68))</f>
        <v>158.04329011934317</v>
      </c>
      <c r="H70" s="406">
        <f t="shared" si="0"/>
        <v>98.777056324589481</v>
      </c>
    </row>
    <row r="71" spans="1:8" ht="27" customHeight="1" x14ac:dyDescent="0.4">
      <c r="A71" s="563"/>
      <c r="B71" s="564"/>
      <c r="C71" s="560"/>
      <c r="D71" s="553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158.046022531728</v>
      </c>
      <c r="H72" s="408">
        <f>AVERAGE(H60:H71)</f>
        <v>98.778764082329999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4.7868226883807886E-3</v>
      </c>
      <c r="H73" s="392">
        <f>STDEV(H60:H71)/H72</f>
        <v>4.7868226883807877E-3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556" t="str">
        <f>B26</f>
        <v xml:space="preserve"> Trimethoprim</v>
      </c>
      <c r="D76" s="556"/>
      <c r="E76" s="337" t="s">
        <v>108</v>
      </c>
      <c r="F76" s="337"/>
      <c r="G76" s="338">
        <f>H72</f>
        <v>98.778764082329999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42" t="str">
        <f>B26</f>
        <v xml:space="preserve"> Trimethoprim</v>
      </c>
      <c r="C79" s="542"/>
    </row>
    <row r="80" spans="1:8" ht="26.25" customHeight="1" x14ac:dyDescent="0.4">
      <c r="A80" s="248" t="s">
        <v>48</v>
      </c>
      <c r="B80" s="542" t="str">
        <f>B27</f>
        <v>T7-4</v>
      </c>
      <c r="C80" s="542"/>
    </row>
    <row r="81" spans="1:12" ht="27" customHeight="1" x14ac:dyDescent="0.4">
      <c r="A81" s="248" t="s">
        <v>6</v>
      </c>
      <c r="B81" s="340">
        <f>B28</f>
        <v>99.3</v>
      </c>
    </row>
    <row r="82" spans="1:12" s="3" customFormat="1" ht="27" customHeight="1" x14ac:dyDescent="0.4">
      <c r="A82" s="248" t="s">
        <v>49</v>
      </c>
      <c r="B82" s="250">
        <v>0</v>
      </c>
      <c r="C82" s="533" t="s">
        <v>50</v>
      </c>
      <c r="D82" s="534"/>
      <c r="E82" s="534"/>
      <c r="F82" s="534"/>
      <c r="G82" s="535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536" t="s">
        <v>111</v>
      </c>
      <c r="D84" s="537"/>
      <c r="E84" s="537"/>
      <c r="F84" s="537"/>
      <c r="G84" s="537"/>
      <c r="H84" s="538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536" t="s">
        <v>112</v>
      </c>
      <c r="D85" s="537"/>
      <c r="E85" s="537"/>
      <c r="F85" s="537"/>
      <c r="G85" s="537"/>
      <c r="H85" s="538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539" t="s">
        <v>60</v>
      </c>
      <c r="G89" s="541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3608051</v>
      </c>
      <c r="E91" s="272">
        <f>IF(ISBLANK(D91),"-",$D$101/$D$98*D91)</f>
        <v>4209808.1309054475</v>
      </c>
      <c r="F91" s="271">
        <v>3811640</v>
      </c>
      <c r="G91" s="273">
        <f>IF(ISBLANK(F91),"-",$D$101/$F$98*F91)</f>
        <v>4243791.6716072764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3594682</v>
      </c>
      <c r="E92" s="277">
        <f>IF(ISBLANK(D92),"-",$D$101/$D$98*D92)</f>
        <v>4194209.4254264855</v>
      </c>
      <c r="F92" s="276">
        <v>3818916</v>
      </c>
      <c r="G92" s="278">
        <f>IF(ISBLANK(F92),"-",$D$101/$F$98*F92)</f>
        <v>4251892.601443938</v>
      </c>
      <c r="I92" s="543">
        <f>ABS((F96/D96*D95)-F95)/D95</f>
        <v>1.0162510839669502E-2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3604858</v>
      </c>
      <c r="E93" s="277">
        <f>IF(ISBLANK(D93),"-",$D$101/$D$98*D93)</f>
        <v>4206082.5967148328</v>
      </c>
      <c r="F93" s="276">
        <v>3805271</v>
      </c>
      <c r="G93" s="278">
        <f>IF(ISBLANK(F93),"-",$D$101/$F$98*F93)</f>
        <v>4236700.5745581146</v>
      </c>
      <c r="I93" s="543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3602530.3333333335</v>
      </c>
      <c r="E95" s="287">
        <f>AVERAGE(E91:E94)</f>
        <v>4203366.7176822545</v>
      </c>
      <c r="F95" s="350">
        <f>AVERAGE(F91:F94)</f>
        <v>3811942.3333333335</v>
      </c>
      <c r="G95" s="351">
        <f>AVERAGE(G91:G94)</f>
        <v>4244128.2825364424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19.18</v>
      </c>
      <c r="E96" s="279"/>
      <c r="F96" s="291">
        <v>20.100000000000001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19.18</v>
      </c>
      <c r="E97" s="294"/>
      <c r="F97" s="293">
        <f>F96*$B$87</f>
        <v>20.100000000000001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19.045739999999999</v>
      </c>
      <c r="E98" s="297"/>
      <c r="F98" s="296">
        <f>F97*$B$83/100</f>
        <v>19.959299999999999</v>
      </c>
    </row>
    <row r="99" spans="1:10" ht="19.5" customHeight="1" x14ac:dyDescent="0.3">
      <c r="A99" s="544" t="s">
        <v>78</v>
      </c>
      <c r="B99" s="558"/>
      <c r="C99" s="354" t="s">
        <v>116</v>
      </c>
      <c r="D99" s="358">
        <f>D98/$B$98</f>
        <v>3.0473183999999997E-2</v>
      </c>
      <c r="E99" s="297"/>
      <c r="F99" s="300">
        <f>F98/$B$98</f>
        <v>3.1934879999999999E-2</v>
      </c>
      <c r="G99" s="359"/>
      <c r="H99" s="289"/>
    </row>
    <row r="100" spans="1:10" ht="19.5" customHeight="1" x14ac:dyDescent="0.3">
      <c r="A100" s="546"/>
      <c r="B100" s="559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4223747.5001093494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5.5428859614133292E-3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4182995</v>
      </c>
      <c r="E108" s="389">
        <f t="shared" ref="E108:E113" si="1">IF(ISBLANK(D108),"-",D108/$D$103*$D$100*$B$116)</f>
        <v>158.45625241155466</v>
      </c>
      <c r="F108" s="416">
        <f t="shared" ref="F108:F113" si="2">IF(ISBLANK(D108), "-", (E108/$B$56)*100)</f>
        <v>99.035157757221654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3802731</v>
      </c>
      <c r="E109" s="390">
        <f t="shared" si="1"/>
        <v>144.05145193557334</v>
      </c>
      <c r="F109" s="417">
        <f t="shared" si="2"/>
        <v>90.032157459733341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3809647</v>
      </c>
      <c r="E110" s="390">
        <f t="shared" si="1"/>
        <v>144.31343729335603</v>
      </c>
      <c r="F110" s="417">
        <f t="shared" si="2"/>
        <v>90.195898308347523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3805735</v>
      </c>
      <c r="E111" s="390">
        <f t="shared" si="1"/>
        <v>144.16524661671551</v>
      </c>
      <c r="F111" s="417">
        <f t="shared" si="2"/>
        <v>90.103279135447195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3805124</v>
      </c>
      <c r="E112" s="390">
        <f t="shared" si="1"/>
        <v>144.14210129375351</v>
      </c>
      <c r="F112" s="417">
        <f t="shared" si="2"/>
        <v>90.088813308595945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3810076</v>
      </c>
      <c r="E113" s="391">
        <f t="shared" si="1"/>
        <v>144.32968826479748</v>
      </c>
      <c r="F113" s="418">
        <f t="shared" si="2"/>
        <v>90.206055165498427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146.57636296929175</v>
      </c>
      <c r="F115" s="420">
        <f>AVERAGE(F108:F113)</f>
        <v>91.610226855807355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3.9712412392635156E-2</v>
      </c>
      <c r="F116" s="374">
        <f>STDEV(F108:F113)/F115</f>
        <v>3.9712412392635107E-2</v>
      </c>
      <c r="I116" s="237"/>
    </row>
    <row r="117" spans="1:10" ht="27" customHeight="1" x14ac:dyDescent="0.4">
      <c r="A117" s="544" t="s">
        <v>78</v>
      </c>
      <c r="B117" s="545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46"/>
      <c r="B118" s="547"/>
      <c r="C118" s="237"/>
      <c r="D118" s="399"/>
      <c r="E118" s="524" t="s">
        <v>123</v>
      </c>
      <c r="F118" s="525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144.05145193557334</v>
      </c>
      <c r="F119" s="421">
        <f>MIN(F108:F113)</f>
        <v>90.032157459733341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158.45625241155466</v>
      </c>
      <c r="F120" s="422">
        <f>MAX(F108:F113)</f>
        <v>99.035157757221654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556" t="str">
        <f>B26</f>
        <v xml:space="preserve"> Trimethoprim</v>
      </c>
      <c r="D124" s="556"/>
      <c r="E124" s="337" t="s">
        <v>127</v>
      </c>
      <c r="F124" s="337"/>
      <c r="G124" s="423">
        <f>F115</f>
        <v>91.610226855807355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90.032157459733341</v>
      </c>
      <c r="E125" s="348" t="s">
        <v>130</v>
      </c>
      <c r="F125" s="423">
        <f>MAX(F108:F113)</f>
        <v>99.035157757221654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57" t="s">
        <v>26</v>
      </c>
      <c r="C127" s="557"/>
      <c r="E127" s="343" t="s">
        <v>27</v>
      </c>
      <c r="F127" s="378"/>
      <c r="G127" s="557" t="s">
        <v>28</v>
      </c>
      <c r="H127" s="557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Uniformity</vt:lpstr>
      <vt:lpstr>Sulfamethoxazole</vt:lpstr>
      <vt:lpstr>Trimethoprim</vt:lpstr>
      <vt:lpstr>'SST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2016-12-17T10:19:00Z</cp:lastPrinted>
  <dcterms:created xsi:type="dcterms:W3CDTF">2005-07-05T10:19:27Z</dcterms:created>
  <dcterms:modified xsi:type="dcterms:W3CDTF">2016-12-17T10:19:12Z</dcterms:modified>
</cp:coreProperties>
</file>