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510" yWindow="510" windowWidth="15015" windowHeight="7110" activeTab="3"/>
  </bookViews>
  <sheets>
    <sheet name="lam sst" sheetId="1" r:id="rId1"/>
    <sheet name="Uniformity" sheetId="2" r:id="rId2"/>
    <sheet name="Lamivudine" sheetId="3" r:id="rId3"/>
    <sheet name="Tenofovir Disoproxil Fumurate" sheetId="4" r:id="rId4"/>
    <sheet name="TDF SST" sheetId="5" r:id="rId5"/>
  </sheets>
  <definedNames>
    <definedName name="_xlnm.Print_Area" localSheetId="1">Uniformity!$A$1:$F$54</definedName>
  </definedNames>
  <calcPr calcId="145621"/>
</workbook>
</file>

<file path=xl/calcChain.xml><?xml version="1.0" encoding="utf-8"?>
<calcChain xmlns="http://schemas.openxmlformats.org/spreadsheetml/2006/main">
  <c r="B42" i="5" l="1"/>
  <c r="D68" i="4" l="1"/>
  <c r="D64" i="4"/>
  <c r="D60" i="4"/>
  <c r="B53" i="5"/>
  <c r="E51" i="5"/>
  <c r="D51" i="5"/>
  <c r="C51" i="5"/>
  <c r="B51" i="5"/>
  <c r="B52" i="5" s="1"/>
  <c r="B32" i="5"/>
  <c r="E30" i="5"/>
  <c r="D30" i="5"/>
  <c r="C30" i="5"/>
  <c r="B30" i="5"/>
  <c r="B31" i="5" s="1"/>
  <c r="B21" i="5"/>
  <c r="B42" i="1"/>
  <c r="B21" i="1"/>
  <c r="C124" i="4"/>
  <c r="B116" i="4"/>
  <c r="D100" i="4" s="1"/>
  <c r="B98" i="4"/>
  <c r="F95" i="4"/>
  <c r="D95" i="4"/>
  <c r="B87" i="4"/>
  <c r="F97" i="4" s="1"/>
  <c r="B81" i="4"/>
  <c r="B83" i="4" s="1"/>
  <c r="B80" i="4"/>
  <c r="B79" i="4"/>
  <c r="C76" i="4"/>
  <c r="B68" i="4"/>
  <c r="C56" i="4"/>
  <c r="B55" i="4"/>
  <c r="B45" i="4"/>
  <c r="D48" i="4" s="1"/>
  <c r="F42" i="4"/>
  <c r="D42" i="4"/>
  <c r="B34" i="4"/>
  <c r="F44" i="4" s="1"/>
  <c r="B30" i="4"/>
  <c r="C124" i="3"/>
  <c r="B116" i="3"/>
  <c r="D100" i="3" s="1"/>
  <c r="B98" i="3"/>
  <c r="F95" i="3"/>
  <c r="D95" i="3"/>
  <c r="B87" i="3"/>
  <c r="D97" i="3" s="1"/>
  <c r="B81" i="3"/>
  <c r="B83" i="3" s="1"/>
  <c r="B80" i="3"/>
  <c r="B79" i="3"/>
  <c r="C76" i="3"/>
  <c r="B68" i="3"/>
  <c r="C56" i="3"/>
  <c r="B55" i="3"/>
  <c r="B45" i="3"/>
  <c r="D48" i="3" s="1"/>
  <c r="F42" i="3"/>
  <c r="D42" i="3"/>
  <c r="B34" i="3"/>
  <c r="D44" i="3" s="1"/>
  <c r="D45" i="3" s="1"/>
  <c r="B30" i="3"/>
  <c r="D50" i="2"/>
  <c r="D49" i="2"/>
  <c r="B49" i="2"/>
  <c r="C46" i="2"/>
  <c r="B57" i="4" s="1"/>
  <c r="B69" i="4" s="1"/>
  <c r="C45" i="2"/>
  <c r="D42" i="2"/>
  <c r="D41" i="2"/>
  <c r="D40" i="2"/>
  <c r="D38" i="2"/>
  <c r="D37" i="2"/>
  <c r="D36" i="2"/>
  <c r="D34" i="2"/>
  <c r="D33" i="2"/>
  <c r="D32" i="2"/>
  <c r="D31" i="2"/>
  <c r="D30" i="2"/>
  <c r="D29" i="2"/>
  <c r="D28" i="2"/>
  <c r="D27" i="2"/>
  <c r="D26" i="2"/>
  <c r="D25" i="2"/>
  <c r="D24" i="2"/>
  <c r="C19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I92" i="4" l="1"/>
  <c r="D101" i="4"/>
  <c r="D102" i="4" s="1"/>
  <c r="I39" i="4"/>
  <c r="F45" i="4"/>
  <c r="F46" i="4" s="1"/>
  <c r="I92" i="3"/>
  <c r="D101" i="3"/>
  <c r="F97" i="3"/>
  <c r="I39" i="3"/>
  <c r="D46" i="3"/>
  <c r="D98" i="3"/>
  <c r="D99" i="3" s="1"/>
  <c r="F98" i="3"/>
  <c r="F99" i="3" s="1"/>
  <c r="D49" i="3"/>
  <c r="E40" i="3"/>
  <c r="E38" i="3"/>
  <c r="E41" i="3"/>
  <c r="E39" i="3"/>
  <c r="G39" i="4"/>
  <c r="D49" i="4"/>
  <c r="G38" i="4"/>
  <c r="G41" i="4"/>
  <c r="F98" i="4"/>
  <c r="F99" i="4" s="1"/>
  <c r="D35" i="2"/>
  <c r="D39" i="2"/>
  <c r="D43" i="2"/>
  <c r="C49" i="2"/>
  <c r="F44" i="3"/>
  <c r="F45" i="3" s="1"/>
  <c r="F46" i="3" s="1"/>
  <c r="D97" i="4"/>
  <c r="D98" i="4" s="1"/>
  <c r="D99" i="4" s="1"/>
  <c r="B57" i="3"/>
  <c r="B69" i="3" s="1"/>
  <c r="D44" i="4"/>
  <c r="D45" i="4" s="1"/>
  <c r="D46" i="4" s="1"/>
  <c r="C50" i="2"/>
  <c r="E93" i="3" l="1"/>
  <c r="G40" i="4"/>
  <c r="G42" i="4" s="1"/>
  <c r="E91" i="3"/>
  <c r="D102" i="3"/>
  <c r="G91" i="3"/>
  <c r="E94" i="3"/>
  <c r="E92" i="3"/>
  <c r="G92" i="3"/>
  <c r="G94" i="3"/>
  <c r="G93" i="3"/>
  <c r="E40" i="4"/>
  <c r="G39" i="3"/>
  <c r="G38" i="3"/>
  <c r="E93" i="4"/>
  <c r="E38" i="4"/>
  <c r="E41" i="4"/>
  <c r="E92" i="4"/>
  <c r="E94" i="4"/>
  <c r="E39" i="4"/>
  <c r="E42" i="3"/>
  <c r="G93" i="4"/>
  <c r="E91" i="4"/>
  <c r="G40" i="3"/>
  <c r="G41" i="3"/>
  <c r="G91" i="4"/>
  <c r="G94" i="4"/>
  <c r="G92" i="4"/>
  <c r="G95" i="4" l="1"/>
  <c r="E95" i="3"/>
  <c r="G95" i="3"/>
  <c r="D103" i="3"/>
  <c r="E108" i="3" s="1"/>
  <c r="G42" i="3"/>
  <c r="D105" i="3"/>
  <c r="D50" i="3"/>
  <c r="G68" i="3" s="1"/>
  <c r="H68" i="3" s="1"/>
  <c r="D103" i="4"/>
  <c r="E95" i="4"/>
  <c r="D105" i="4"/>
  <c r="D52" i="3"/>
  <c r="D50" i="4"/>
  <c r="E42" i="4"/>
  <c r="D52" i="4"/>
  <c r="E112" i="3" l="1"/>
  <c r="F112" i="3" s="1"/>
  <c r="E111" i="3"/>
  <c r="F111" i="3" s="1"/>
  <c r="E110" i="3"/>
  <c r="F110" i="3" s="1"/>
  <c r="E109" i="3"/>
  <c r="F109" i="3" s="1"/>
  <c r="E113" i="3"/>
  <c r="F113" i="3" s="1"/>
  <c r="D104" i="3"/>
  <c r="G66" i="3"/>
  <c r="H66" i="3" s="1"/>
  <c r="G63" i="3"/>
  <c r="H63" i="3" s="1"/>
  <c r="D51" i="3"/>
  <c r="G65" i="3"/>
  <c r="H65" i="3" s="1"/>
  <c r="G60" i="3"/>
  <c r="H60" i="3" s="1"/>
  <c r="G69" i="3"/>
  <c r="H69" i="3" s="1"/>
  <c r="G67" i="3"/>
  <c r="H67" i="3" s="1"/>
  <c r="G62" i="3"/>
  <c r="H62" i="3" s="1"/>
  <c r="G71" i="3"/>
  <c r="H71" i="3" s="1"/>
  <c r="G61" i="3"/>
  <c r="H61" i="3" s="1"/>
  <c r="G70" i="3"/>
  <c r="H70" i="3" s="1"/>
  <c r="G64" i="3"/>
  <c r="H64" i="3" s="1"/>
  <c r="F108" i="3"/>
  <c r="E113" i="4"/>
  <c r="F113" i="4" s="1"/>
  <c r="E111" i="4"/>
  <c r="F111" i="4" s="1"/>
  <c r="E109" i="4"/>
  <c r="F109" i="4" s="1"/>
  <c r="D104" i="4"/>
  <c r="E112" i="4"/>
  <c r="F112" i="4" s="1"/>
  <c r="E110" i="4"/>
  <c r="F110" i="4" s="1"/>
  <c r="E108" i="4"/>
  <c r="D51" i="4"/>
  <c r="G70" i="4"/>
  <c r="H70" i="4" s="1"/>
  <c r="G67" i="4"/>
  <c r="H67" i="4" s="1"/>
  <c r="G65" i="4"/>
  <c r="H65" i="4" s="1"/>
  <c r="G63" i="4"/>
  <c r="H63" i="4" s="1"/>
  <c r="G61" i="4"/>
  <c r="H61" i="4" s="1"/>
  <c r="G68" i="4"/>
  <c r="H68" i="4" s="1"/>
  <c r="G71" i="4"/>
  <c r="H71" i="4" s="1"/>
  <c r="G69" i="4"/>
  <c r="H69" i="4" s="1"/>
  <c r="G66" i="4"/>
  <c r="H66" i="4" s="1"/>
  <c r="G64" i="4"/>
  <c r="H64" i="4" s="1"/>
  <c r="G62" i="4"/>
  <c r="H62" i="4" s="1"/>
  <c r="G60" i="4"/>
  <c r="E117" i="3" l="1"/>
  <c r="E120" i="3"/>
  <c r="E115" i="3"/>
  <c r="E116" i="3" s="1"/>
  <c r="E119" i="3"/>
  <c r="G74" i="3"/>
  <c r="G72" i="3"/>
  <c r="G73" i="3" s="1"/>
  <c r="H74" i="3"/>
  <c r="H72" i="3"/>
  <c r="G74" i="4"/>
  <c r="G72" i="4"/>
  <c r="G73" i="4" s="1"/>
  <c r="H60" i="4"/>
  <c r="F119" i="3"/>
  <c r="F125" i="3"/>
  <c r="F120" i="3"/>
  <c r="F117" i="3"/>
  <c r="D125" i="3"/>
  <c r="F115" i="3"/>
  <c r="E120" i="4"/>
  <c r="E117" i="4"/>
  <c r="F108" i="4"/>
  <c r="E115" i="4"/>
  <c r="E116" i="4" s="1"/>
  <c r="E119" i="4"/>
  <c r="G124" i="3" l="1"/>
  <c r="F116" i="3"/>
  <c r="H74" i="4"/>
  <c r="H72" i="4"/>
  <c r="F125" i="4"/>
  <c r="F120" i="4"/>
  <c r="F117" i="4"/>
  <c r="D125" i="4"/>
  <c r="F115" i="4"/>
  <c r="F119" i="4"/>
  <c r="G76" i="3"/>
  <c r="H73" i="3"/>
  <c r="G76" i="4" l="1"/>
  <c r="H73" i="4"/>
  <c r="G124" i="4"/>
  <c r="F116" i="4"/>
</calcChain>
</file>

<file path=xl/sharedStrings.xml><?xml version="1.0" encoding="utf-8"?>
<sst xmlns="http://schemas.openxmlformats.org/spreadsheetml/2006/main" count="454" uniqueCount="136">
  <si>
    <t>HPLC System Suitability Report</t>
  </si>
  <si>
    <t>Analysis Data</t>
  </si>
  <si>
    <t>Assay</t>
  </si>
  <si>
    <t>Sample(s)</t>
  </si>
  <si>
    <t>Reference Substance:</t>
  </si>
  <si>
    <t>LAMIVUDINE 300 MG AND TENOFOVIR DISOPROXIL FUMARATE 300 MG TABLETS</t>
  </si>
  <si>
    <t>% age Purity:</t>
  </si>
  <si>
    <t>NDQB201701313</t>
  </si>
  <si>
    <t>Weight (mg):</t>
  </si>
  <si>
    <t>Lamivudine and Tenofovir Disoproxil Fumarate</t>
  </si>
  <si>
    <t>Standard Conc (mg/mL):</t>
  </si>
  <si>
    <t>Each film coated tablet contains: Tenofovir Disoproxil Fumarate 300 mg equivalent to Tenofovir Disoproxil 245 mg and Lamivudine USP 300 mg.</t>
  </si>
  <si>
    <t>2017-01-11 07:53:13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</si>
  <si>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</si>
  <si>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</si>
  <si>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</si>
  <si>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</si>
  <si>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</si>
  <si>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</si>
  <si>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</si>
  <si>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</si>
  <si>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</si>
  <si>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</si>
  <si>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</si>
  <si>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</si>
  <si>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</si>
  <si>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</si>
  <si>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</si>
  <si>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</si>
  <si>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</si>
  <si>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</si>
  <si>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</si>
  <si>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</si>
  <si>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</si>
  <si>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</si>
  <si>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</si>
  <si>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</si>
  <si>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</si>
  <si>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</si>
  <si>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</si>
  <si>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</si>
  <si>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</si>
  <si>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</si>
  <si>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</si>
  <si>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</si>
  <si>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</si>
  <si>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</si>
  <si>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</si>
  <si>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</si>
  <si>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</si>
  <si>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</si>
  <si>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</si>
  <si>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</si>
  <si>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</si>
  <si>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</si>
  <si>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</si>
  <si>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</si>
  <si>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</si>
  <si>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</si>
  <si>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</si>
  <si>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</si>
  <si>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</si>
  <si>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</si>
  <si>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</si>
  <si>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</si>
  <si>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</si>
  <si>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</si>
  <si>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</si>
  <si>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</si>
  <si>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</si>
  <si>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</si>
  <si>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</si>
  <si>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</si>
  <si>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</si>
  <si>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</si>
  <si>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</si>
  <si>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</si>
  <si>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</si>
  <si>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</si>
  <si>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</si>
  <si>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</si>
  <si>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</si>
  <si>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</si>
  <si>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</si>
  <si>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</si>
  <si>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</si>
  <si>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</si>
  <si>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</si>
  <si>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</si>
  <si>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</si>
  <si>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</si>
  <si>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</si>
  <si>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</si>
  <si>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</si>
  <si>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</si>
  <si>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</si>
  <si>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</si>
  <si>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</si>
  <si>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</si>
  <si>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</si>
  <si>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</si>
  <si>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</si>
  <si>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</si>
  <si>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</si>
  <si>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</si>
  <si>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</si>
  <si>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</si>
  <si>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</si>
  <si>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</si>
  <si>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</si>
  <si>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</si>
  <si>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</si>
  <si>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</si>
  <si>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</si>
  <si>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</si>
  <si>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</si>
  <si>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</si>
  <si>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</si>
  <si>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</si>
  <si>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Unit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</si>
  <si>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</si>
  <si>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</si>
  <si>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</si>
  <si>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Range</t>
  </si>
  <si>
    <t>Minimum:</t>
  </si>
  <si>
    <t>Maximum:</t>
  </si>
  <si>
    <t xml:space="preserve">The amount  of </t>
  </si>
  <si>
    <t xml:space="preserve">dissolved as a percentage of the stated  label claim is </t>
  </si>
  <si>
    <t>Range:</t>
  </si>
  <si>
    <t>Minimum</t>
  </si>
  <si>
    <t>Maximum</t>
  </si>
  <si>
    <t>Lamivudine</t>
  </si>
  <si>
    <t>TDF</t>
  </si>
  <si>
    <t>Tenofovir Disoproxil Fumurate</t>
  </si>
  <si>
    <t>T11-8</t>
  </si>
  <si>
    <t>L42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</si>
</sst>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  <numFmt numFmtId="173" formatCode="0.00\ &quot;%&quot;"/>
    <numFmt numFmtId="174" formatCode="0.0\ &quot;%&quot;"/>
    <numFmt numFmtId="175" formatCode="0\ &quot;%&quot;"/>
  </numFmts>
  <fonts count="25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u/>
      <sz val="1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sz val="36"/>
      <color rgb="FF000000"/>
      <name val="Book Antiqua"/>
    </font>
    <font>
      <vertAlign val="superscript"/>
      <sz val="14"/>
      <color rgb="FF000000"/>
      <name val="Book Antiqua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523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0" fontId="11" fillId="2" borderId="14" xfId="0" applyFont="1" applyFill="1" applyBorder="1" applyAlignment="1">
      <alignment horizont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4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0" fontId="14" fillId="2" borderId="0" xfId="0" applyFont="1" applyFill="1"/>
    <xf numFmtId="10" fontId="13" fillId="6" borderId="54" xfId="0" applyNumberFormat="1" applyFont="1" applyFill="1" applyBorder="1" applyAlignment="1">
      <alignment horizontal="center"/>
    </xf>
    <xf numFmtId="171" fontId="11" fillId="2" borderId="16" xfId="0" applyNumberFormat="1" applyFont="1" applyFill="1" applyBorder="1" applyAlignment="1">
      <alignment horizontal="right"/>
    </xf>
    <xf numFmtId="0" fontId="11" fillId="2" borderId="14" xfId="0" applyFont="1" applyFill="1" applyBorder="1" applyAlignment="1">
      <alignment horizontal="right"/>
    </xf>
    <xf numFmtId="2" fontId="13" fillId="7" borderId="55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13" fillId="7" borderId="28" xfId="0" applyFont="1" applyFill="1" applyBorder="1" applyAlignment="1">
      <alignment horizontal="center"/>
    </xf>
    <xf numFmtId="0" fontId="13" fillId="7" borderId="56" xfId="0" applyFont="1" applyFill="1" applyBorder="1" applyAlignment="1">
      <alignment horizontal="center"/>
    </xf>
    <xf numFmtId="2" fontId="13" fillId="6" borderId="54" xfId="0" applyNumberFormat="1" applyFont="1" applyFill="1" applyBorder="1" applyAlignment="1">
      <alignment horizontal="center"/>
    </xf>
    <xf numFmtId="2" fontId="13" fillId="7" borderId="46" xfId="0" applyNumberFormat="1" applyFont="1" applyFill="1" applyBorder="1" applyAlignment="1">
      <alignment horizontal="center"/>
    </xf>
    <xf numFmtId="166" fontId="11" fillId="2" borderId="43" xfId="0" applyNumberFormat="1" applyFont="1" applyFill="1" applyBorder="1" applyAlignment="1">
      <alignment horizontal="center"/>
    </xf>
    <xf numFmtId="173" fontId="11" fillId="2" borderId="13" xfId="0" applyNumberFormat="1" applyFont="1" applyFill="1" applyBorder="1" applyAlignment="1">
      <alignment horizontal="center" vertical="center"/>
    </xf>
    <xf numFmtId="173" fontId="11" fillId="2" borderId="14" xfId="0" applyNumberFormat="1" applyFont="1" applyFill="1" applyBorder="1" applyAlignment="1">
      <alignment horizontal="center" vertical="center"/>
    </xf>
    <xf numFmtId="173" fontId="11" fillId="2" borderId="15" xfId="0" applyNumberFormat="1" applyFont="1" applyFill="1" applyBorder="1" applyAlignment="1">
      <alignment horizontal="center" vertical="center"/>
    </xf>
    <xf numFmtId="173" fontId="13" fillId="7" borderId="3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1" fontId="13" fillId="3" borderId="14" xfId="0" applyNumberFormat="1" applyFont="1" applyFill="1" applyBorder="1" applyAlignment="1" applyProtection="1">
      <alignment horizontal="center"/>
      <protection locked="0"/>
    </xf>
    <xf numFmtId="1" fontId="13" fillId="3" borderId="15" xfId="0" applyNumberFormat="1" applyFont="1" applyFill="1" applyBorder="1" applyAlignment="1" applyProtection="1">
      <alignment horizontal="center"/>
      <protection locked="0"/>
    </xf>
    <xf numFmtId="0" fontId="11" fillId="2" borderId="13" xfId="0" applyFont="1" applyFill="1" applyBorder="1" applyAlignment="1">
      <alignment horizontal="center"/>
    </xf>
    <xf numFmtId="1" fontId="13" fillId="3" borderId="13" xfId="0" applyNumberFormat="1" applyFont="1" applyFill="1" applyBorder="1" applyAlignment="1" applyProtection="1">
      <alignment horizontal="center"/>
      <protection locked="0"/>
    </xf>
    <xf numFmtId="173" fontId="11" fillId="2" borderId="22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3" fontId="11" fillId="2" borderId="44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4" fontId="13" fillId="7" borderId="52" xfId="0" applyNumberFormat="1" applyFont="1" applyFill="1" applyBorder="1" applyAlignment="1">
      <alignment horizontal="center"/>
    </xf>
    <xf numFmtId="174" fontId="13" fillId="6" borderId="54" xfId="0" applyNumberFormat="1" applyFont="1" applyFill="1" applyBorder="1" applyAlignment="1">
      <alignment horizontal="center"/>
    </xf>
    <xf numFmtId="174" fontId="13" fillId="7" borderId="46" xfId="0" applyNumberFormat="1" applyFont="1" applyFill="1" applyBorder="1" applyAlignment="1">
      <alignment horizontal="center"/>
    </xf>
    <xf numFmtId="175" fontId="23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0" fontId="11" fillId="2" borderId="14" xfId="0" applyFont="1" applyFill="1" applyBorder="1" applyAlignment="1">
      <alignment horizont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4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0" fontId="14" fillId="2" borderId="0" xfId="0" applyFont="1" applyFill="1"/>
    <xf numFmtId="10" fontId="13" fillId="6" borderId="54" xfId="0" applyNumberFormat="1" applyFont="1" applyFill="1" applyBorder="1" applyAlignment="1">
      <alignment horizontal="center"/>
    </xf>
    <xf numFmtId="171" fontId="11" fillId="2" borderId="16" xfId="0" applyNumberFormat="1" applyFont="1" applyFill="1" applyBorder="1" applyAlignment="1">
      <alignment horizontal="right"/>
    </xf>
    <xf numFmtId="0" fontId="11" fillId="2" borderId="14" xfId="0" applyFont="1" applyFill="1" applyBorder="1" applyAlignment="1">
      <alignment horizontal="right"/>
    </xf>
    <xf numFmtId="2" fontId="13" fillId="7" borderId="55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13" fillId="7" borderId="28" xfId="0" applyFont="1" applyFill="1" applyBorder="1" applyAlignment="1">
      <alignment horizontal="center"/>
    </xf>
    <xf numFmtId="0" fontId="13" fillId="7" borderId="56" xfId="0" applyFont="1" applyFill="1" applyBorder="1" applyAlignment="1">
      <alignment horizontal="center"/>
    </xf>
    <xf numFmtId="2" fontId="13" fillId="6" borderId="54" xfId="0" applyNumberFormat="1" applyFont="1" applyFill="1" applyBorder="1" applyAlignment="1">
      <alignment horizontal="center"/>
    </xf>
    <xf numFmtId="2" fontId="13" fillId="7" borderId="46" xfId="0" applyNumberFormat="1" applyFont="1" applyFill="1" applyBorder="1" applyAlignment="1">
      <alignment horizontal="center"/>
    </xf>
    <xf numFmtId="166" fontId="11" fillId="2" borderId="43" xfId="0" applyNumberFormat="1" applyFont="1" applyFill="1" applyBorder="1" applyAlignment="1">
      <alignment horizontal="center"/>
    </xf>
    <xf numFmtId="173" fontId="11" fillId="2" borderId="13" xfId="0" applyNumberFormat="1" applyFont="1" applyFill="1" applyBorder="1" applyAlignment="1">
      <alignment horizontal="center" vertical="center"/>
    </xf>
    <xf numFmtId="173" fontId="11" fillId="2" borderId="14" xfId="0" applyNumberFormat="1" applyFont="1" applyFill="1" applyBorder="1" applyAlignment="1">
      <alignment horizontal="center" vertical="center"/>
    </xf>
    <xf numFmtId="173" fontId="11" fillId="2" borderId="15" xfId="0" applyNumberFormat="1" applyFont="1" applyFill="1" applyBorder="1" applyAlignment="1">
      <alignment horizontal="center" vertical="center"/>
    </xf>
    <xf numFmtId="173" fontId="13" fillId="7" borderId="3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1" fontId="13" fillId="3" borderId="14" xfId="0" applyNumberFormat="1" applyFont="1" applyFill="1" applyBorder="1" applyAlignment="1" applyProtection="1">
      <alignment horizontal="center"/>
      <protection locked="0"/>
    </xf>
    <xf numFmtId="1" fontId="13" fillId="3" borderId="15" xfId="0" applyNumberFormat="1" applyFont="1" applyFill="1" applyBorder="1" applyAlignment="1" applyProtection="1">
      <alignment horizontal="center"/>
      <protection locked="0"/>
    </xf>
    <xf numFmtId="0" fontId="11" fillId="2" borderId="13" xfId="0" applyFont="1" applyFill="1" applyBorder="1" applyAlignment="1">
      <alignment horizontal="center"/>
    </xf>
    <xf numFmtId="1" fontId="13" fillId="3" borderId="13" xfId="0" applyNumberFormat="1" applyFont="1" applyFill="1" applyBorder="1" applyAlignment="1" applyProtection="1">
      <alignment horizontal="center"/>
      <protection locked="0"/>
    </xf>
    <xf numFmtId="173" fontId="11" fillId="2" borderId="22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3" fontId="11" fillId="2" borderId="44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4" fontId="13" fillId="7" borderId="52" xfId="0" applyNumberFormat="1" applyFont="1" applyFill="1" applyBorder="1" applyAlignment="1">
      <alignment horizontal="center"/>
    </xf>
    <xf numFmtId="174" fontId="13" fillId="6" borderId="54" xfId="0" applyNumberFormat="1" applyFont="1" applyFill="1" applyBorder="1" applyAlignment="1">
      <alignment horizontal="center"/>
    </xf>
    <xf numFmtId="174" fontId="13" fillId="7" borderId="46" xfId="0" applyNumberFormat="1" applyFont="1" applyFill="1" applyBorder="1" applyAlignment="1">
      <alignment horizontal="center"/>
    </xf>
    <xf numFmtId="175" fontId="23" fillId="2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12" fillId="2" borderId="47" xfId="0" applyFont="1" applyFill="1" applyBorder="1" applyAlignment="1">
      <alignment horizontal="center" vertical="center"/>
    </xf>
    <xf numFmtId="0" fontId="12" fillId="2" borderId="55" xfId="0" applyFont="1" applyFill="1" applyBorder="1" applyAlignment="1">
      <alignment horizontal="center" vertical="center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14" fillId="3" borderId="0" xfId="0" applyFont="1" applyFill="1" applyAlignment="1" applyProtection="1">
      <alignment horizontal="left"/>
      <protection locked="0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/>
      <protection locked="0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43" xfId="0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</cellXfs>
  <cellStyles count="1">
    <cellStyle name="Normal" xfId="0" builtinId="0"/>
  </cellStyles>
  <dxfs count="39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35" workbookViewId="0">
      <selection activeCell="C42" sqref="C42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472" t="s">
        <v>0</v>
      </c>
      <c r="B15" s="472"/>
      <c r="C15" s="472"/>
      <c r="D15" s="472"/>
      <c r="E15" s="472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5</v>
      </c>
      <c r="D17" s="9"/>
      <c r="E17" s="10"/>
    </row>
    <row r="18" spans="1:6" ht="16.5" customHeight="1" x14ac:dyDescent="0.3">
      <c r="A18" s="11" t="s">
        <v>4</v>
      </c>
      <c r="B18" s="4" t="s">
        <v>131</v>
      </c>
      <c r="C18" s="10"/>
      <c r="D18" s="10"/>
      <c r="E18" s="10"/>
    </row>
    <row r="19" spans="1:6" ht="16.5" customHeight="1" x14ac:dyDescent="0.3">
      <c r="A19" s="11" t="s">
        <v>6</v>
      </c>
      <c r="B19" s="12">
        <v>99.8</v>
      </c>
      <c r="C19" s="10"/>
      <c r="D19" s="10"/>
      <c r="E19" s="10"/>
    </row>
    <row r="20" spans="1:6" ht="16.5" customHeight="1" x14ac:dyDescent="0.3">
      <c r="A20" s="7" t="s">
        <v>8</v>
      </c>
      <c r="B20" s="12">
        <v>18.010000000000002</v>
      </c>
      <c r="C20" s="10"/>
      <c r="D20" s="10"/>
      <c r="E20" s="10"/>
    </row>
    <row r="21" spans="1:6" ht="16.5" customHeight="1" x14ac:dyDescent="0.3">
      <c r="A21" s="7" t="s">
        <v>10</v>
      </c>
      <c r="B21" s="13">
        <f>B20/50*10/25</f>
        <v>0.14408000000000001</v>
      </c>
      <c r="C21" s="10"/>
      <c r="D21" s="10"/>
      <c r="E21" s="10"/>
    </row>
    <row r="22" spans="1:6" ht="15.75" customHeight="1" x14ac:dyDescent="0.25">
      <c r="A22" s="10"/>
      <c r="B22" s="10" t="s">
        <v>12</v>
      </c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 x14ac:dyDescent="0.3">
      <c r="A24" s="17">
        <v>1</v>
      </c>
      <c r="B24" s="18">
        <v>28227340</v>
      </c>
      <c r="C24" s="18">
        <v>7941.5</v>
      </c>
      <c r="D24" s="19">
        <v>1</v>
      </c>
      <c r="E24" s="20">
        <v>5.4</v>
      </c>
    </row>
    <row r="25" spans="1:6" ht="16.5" customHeight="1" x14ac:dyDescent="0.3">
      <c r="A25" s="17">
        <v>2</v>
      </c>
      <c r="B25" s="18">
        <v>28187552</v>
      </c>
      <c r="C25" s="18">
        <v>7379.5</v>
      </c>
      <c r="D25" s="19">
        <v>1</v>
      </c>
      <c r="E25" s="19">
        <v>5.4</v>
      </c>
    </row>
    <row r="26" spans="1:6" ht="16.5" customHeight="1" x14ac:dyDescent="0.3">
      <c r="A26" s="17">
        <v>3</v>
      </c>
      <c r="B26" s="18">
        <v>27861833</v>
      </c>
      <c r="C26" s="18">
        <v>7409.3</v>
      </c>
      <c r="D26" s="19">
        <v>1</v>
      </c>
      <c r="E26" s="19">
        <v>5.4</v>
      </c>
    </row>
    <row r="27" spans="1:6" ht="16.5" customHeight="1" x14ac:dyDescent="0.3">
      <c r="A27" s="17">
        <v>4</v>
      </c>
      <c r="B27" s="18">
        <v>28188235</v>
      </c>
      <c r="C27" s="18">
        <v>7464.9</v>
      </c>
      <c r="D27" s="19">
        <v>1</v>
      </c>
      <c r="E27" s="19">
        <v>5.4</v>
      </c>
    </row>
    <row r="28" spans="1:6" ht="16.5" customHeight="1" x14ac:dyDescent="0.3">
      <c r="A28" s="17">
        <v>5</v>
      </c>
      <c r="B28" s="18">
        <v>28120334</v>
      </c>
      <c r="C28" s="18">
        <v>7467.6</v>
      </c>
      <c r="D28" s="19">
        <v>1</v>
      </c>
      <c r="E28" s="19">
        <v>5.4</v>
      </c>
    </row>
    <row r="29" spans="1:6" ht="16.5" customHeight="1" x14ac:dyDescent="0.3">
      <c r="A29" s="17">
        <v>6</v>
      </c>
      <c r="B29" s="21">
        <v>27914804</v>
      </c>
      <c r="C29" s="21">
        <v>7478.6</v>
      </c>
      <c r="D29" s="22">
        <v>1</v>
      </c>
      <c r="E29" s="22">
        <v>5.4</v>
      </c>
    </row>
    <row r="30" spans="1:6" ht="16.5" customHeight="1" x14ac:dyDescent="0.3">
      <c r="A30" s="23" t="s">
        <v>18</v>
      </c>
      <c r="B30" s="24">
        <f>AVERAGE(B24:B29)</f>
        <v>28083349.666666668</v>
      </c>
      <c r="C30" s="25">
        <f>AVERAGE(C24:C29)</f>
        <v>7523.5666666666657</v>
      </c>
      <c r="D30" s="26">
        <f>AVERAGE(D24:D29)</f>
        <v>1</v>
      </c>
      <c r="E30" s="26">
        <f>AVERAGE(E24:E29)</f>
        <v>5.3999999999999995</v>
      </c>
    </row>
    <row r="31" spans="1:6" ht="16.5" customHeight="1" x14ac:dyDescent="0.3">
      <c r="A31" s="27" t="s">
        <v>19</v>
      </c>
      <c r="B31" s="28">
        <f>(STDEV(B24:B29)/B30)</f>
        <v>5.5493524159268576E-3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22</v>
      </c>
      <c r="C34" s="38"/>
      <c r="D34" s="38"/>
      <c r="E34" s="39"/>
    </row>
    <row r="35" spans="1:6" ht="16.5" customHeight="1" x14ac:dyDescent="0.3">
      <c r="A35" s="11"/>
      <c r="B35" s="37" t="s">
        <v>23</v>
      </c>
      <c r="C35" s="38"/>
      <c r="D35" s="38"/>
      <c r="E35" s="39"/>
      <c r="F35" s="2"/>
    </row>
    <row r="36" spans="1:6" ht="16.5" customHeight="1" x14ac:dyDescent="0.3">
      <c r="A36" s="11"/>
      <c r="B36" s="40" t="s">
        <v>24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25</v>
      </c>
    </row>
    <row r="39" spans="1:6" ht="16.5" customHeight="1" x14ac:dyDescent="0.3">
      <c r="A39" s="11" t="s">
        <v>4</v>
      </c>
      <c r="B39" s="8" t="s">
        <v>131</v>
      </c>
      <c r="C39" s="10"/>
      <c r="D39" s="10"/>
      <c r="E39" s="10"/>
    </row>
    <row r="40" spans="1:6" ht="16.5" customHeight="1" x14ac:dyDescent="0.3">
      <c r="A40" s="11" t="s">
        <v>6</v>
      </c>
      <c r="B40" s="12">
        <v>98</v>
      </c>
      <c r="C40" s="10"/>
      <c r="D40" s="10"/>
      <c r="E40" s="10"/>
    </row>
    <row r="41" spans="1:6" ht="16.5" customHeight="1" x14ac:dyDescent="0.3">
      <c r="A41" s="7" t="s">
        <v>8</v>
      </c>
      <c r="B41" s="12">
        <v>16.95</v>
      </c>
      <c r="C41" s="10"/>
      <c r="D41" s="10"/>
      <c r="E41" s="10"/>
    </row>
    <row r="42" spans="1:6" ht="16.5" customHeight="1" x14ac:dyDescent="0.3">
      <c r="A42" s="7" t="s">
        <v>10</v>
      </c>
      <c r="B42" s="13">
        <f>B41/50</f>
        <v>0.33899999999999997</v>
      </c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18">
        <v>64073755</v>
      </c>
      <c r="C45" s="18">
        <v>6766.2</v>
      </c>
      <c r="D45" s="19">
        <v>0.9</v>
      </c>
      <c r="E45" s="20">
        <v>4.8</v>
      </c>
    </row>
    <row r="46" spans="1:6" ht="16.5" customHeight="1" x14ac:dyDescent="0.3">
      <c r="A46" s="17">
        <v>2</v>
      </c>
      <c r="B46" s="18">
        <v>65242733</v>
      </c>
      <c r="C46" s="18">
        <v>6674.3</v>
      </c>
      <c r="D46" s="19">
        <v>0.9</v>
      </c>
      <c r="E46" s="19">
        <v>4.8</v>
      </c>
    </row>
    <row r="47" spans="1:6" ht="16.5" customHeight="1" x14ac:dyDescent="0.3">
      <c r="A47" s="17">
        <v>3</v>
      </c>
      <c r="B47" s="18">
        <v>65340275</v>
      </c>
      <c r="C47" s="18">
        <v>6670.6</v>
      </c>
      <c r="D47" s="19">
        <v>0.9</v>
      </c>
      <c r="E47" s="19">
        <v>4.8</v>
      </c>
    </row>
    <row r="48" spans="1:6" ht="16.5" customHeight="1" x14ac:dyDescent="0.3">
      <c r="A48" s="17">
        <v>4</v>
      </c>
      <c r="B48" s="18">
        <v>64054853</v>
      </c>
      <c r="C48" s="18">
        <v>6705.4</v>
      </c>
      <c r="D48" s="19">
        <v>0.9</v>
      </c>
      <c r="E48" s="19">
        <v>4.8</v>
      </c>
    </row>
    <row r="49" spans="1:7" ht="16.5" customHeight="1" x14ac:dyDescent="0.3">
      <c r="A49" s="17">
        <v>5</v>
      </c>
      <c r="B49" s="18">
        <v>65487696</v>
      </c>
      <c r="C49" s="18">
        <v>6700.9</v>
      </c>
      <c r="D49" s="19">
        <v>0.9</v>
      </c>
      <c r="E49" s="19">
        <v>4.8</v>
      </c>
    </row>
    <row r="50" spans="1:7" ht="16.5" customHeight="1" x14ac:dyDescent="0.3">
      <c r="A50" s="17">
        <v>6</v>
      </c>
      <c r="B50" s="21">
        <v>65126952</v>
      </c>
      <c r="C50" s="21">
        <v>6704.1</v>
      </c>
      <c r="D50" s="22">
        <v>0.9</v>
      </c>
      <c r="E50" s="22">
        <v>4.8</v>
      </c>
    </row>
    <row r="51" spans="1:7" ht="16.5" customHeight="1" x14ac:dyDescent="0.3">
      <c r="A51" s="23" t="s">
        <v>18</v>
      </c>
      <c r="B51" s="24">
        <f>AVERAGE(B45:B50)</f>
        <v>64887710.666666664</v>
      </c>
      <c r="C51" s="25">
        <f>AVERAGE(C45:C50)</f>
        <v>6703.583333333333</v>
      </c>
      <c r="D51" s="26">
        <f>AVERAGE(D45:D50)</f>
        <v>0.9</v>
      </c>
      <c r="E51" s="26">
        <f>AVERAGE(E45:E50)</f>
        <v>4.8</v>
      </c>
    </row>
    <row r="52" spans="1:7" ht="16.5" customHeight="1" x14ac:dyDescent="0.3">
      <c r="A52" s="27" t="s">
        <v>19</v>
      </c>
      <c r="B52" s="28">
        <f>(STDEV(B45:B50)/B51)</f>
        <v>9.9977253127687214E-3</v>
      </c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>
        <f>COUNT(B45:B50)</f>
        <v>6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37" t="s">
        <v>23</v>
      </c>
      <c r="C56" s="38"/>
      <c r="D56" s="38"/>
      <c r="E56" s="39"/>
      <c r="F56" s="2"/>
    </row>
    <row r="57" spans="1:7" ht="16.5" customHeight="1" x14ac:dyDescent="0.3">
      <c r="A57" s="11"/>
      <c r="B57" s="40" t="s">
        <v>24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473" t="s">
        <v>26</v>
      </c>
      <c r="C59" s="473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8"/>
      <c r="C60" s="48"/>
      <c r="E60" s="48"/>
      <c r="F60" s="2"/>
      <c r="G60" s="49"/>
    </row>
    <row r="61" spans="1:7" ht="15" customHeight="1" x14ac:dyDescent="0.3">
      <c r="A61" s="47" t="s">
        <v>30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workbookViewId="0">
      <selection activeCell="D44" sqref="D44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477" t="s">
        <v>31</v>
      </c>
      <c r="B11" s="478"/>
      <c r="C11" s="478"/>
      <c r="D11" s="478"/>
      <c r="E11" s="478"/>
      <c r="F11" s="479"/>
      <c r="G11" s="91"/>
    </row>
    <row r="12" spans="1:7" ht="16.5" customHeight="1" x14ac:dyDescent="0.3">
      <c r="A12" s="476" t="s">
        <v>32</v>
      </c>
      <c r="B12" s="476"/>
      <c r="C12" s="476"/>
      <c r="D12" s="476"/>
      <c r="E12" s="476"/>
      <c r="F12" s="476"/>
      <c r="G12" s="90"/>
    </row>
    <row r="14" spans="1:7" ht="16.5" customHeight="1" x14ac:dyDescent="0.3">
      <c r="A14" s="481" t="s">
        <v>33</v>
      </c>
      <c r="B14" s="481"/>
      <c r="C14" s="60" t="s">
        <v>5</v>
      </c>
    </row>
    <row r="15" spans="1:7" ht="16.5" customHeight="1" x14ac:dyDescent="0.3">
      <c r="A15" s="481" t="s">
        <v>34</v>
      </c>
      <c r="B15" s="481"/>
      <c r="C15" s="60" t="s">
        <v>7</v>
      </c>
    </row>
    <row r="16" spans="1:7" ht="16.5" customHeight="1" x14ac:dyDescent="0.3">
      <c r="A16" s="481" t="s">
        <v>35</v>
      </c>
      <c r="B16" s="481"/>
      <c r="C16" s="60" t="s">
        <v>9</v>
      </c>
    </row>
    <row r="17" spans="1:5" ht="16.5" customHeight="1" x14ac:dyDescent="0.3">
      <c r="A17" s="481" t="s">
        <v>36</v>
      </c>
      <c r="B17" s="481"/>
      <c r="C17" s="60" t="s">
        <v>11</v>
      </c>
    </row>
    <row r="18" spans="1:5" ht="16.5" customHeight="1" x14ac:dyDescent="0.3">
      <c r="A18" s="481" t="s">
        <v>37</v>
      </c>
      <c r="B18" s="481"/>
      <c r="C18" s="97" t="s">
        <v>12</v>
      </c>
    </row>
    <row r="19" spans="1:5" ht="16.5" customHeight="1" x14ac:dyDescent="0.3">
      <c r="A19" s="481" t="s">
        <v>38</v>
      </c>
      <c r="B19" s="481"/>
      <c r="C19" s="97" t="e">
        <f>#REF!</f>
        <v>#REF!</v>
      </c>
    </row>
    <row r="20" spans="1:5" ht="16.5" customHeight="1" x14ac:dyDescent="0.3">
      <c r="A20" s="62"/>
      <c r="B20" s="62"/>
      <c r="C20" s="77"/>
    </row>
    <row r="21" spans="1:5" ht="16.5" customHeight="1" x14ac:dyDescent="0.3">
      <c r="A21" s="476" t="s">
        <v>1</v>
      </c>
      <c r="B21" s="476"/>
      <c r="C21" s="59" t="s">
        <v>39</v>
      </c>
      <c r="D21" s="66"/>
    </row>
    <row r="22" spans="1:5" ht="15.75" customHeight="1" x14ac:dyDescent="0.3">
      <c r="A22" s="480"/>
      <c r="B22" s="480"/>
      <c r="C22" s="57"/>
      <c r="D22" s="480"/>
      <c r="E22" s="480"/>
    </row>
    <row r="23" spans="1:5" ht="33.75" customHeight="1" x14ac:dyDescent="0.3">
      <c r="C23" s="86" t="s">
        <v>40</v>
      </c>
      <c r="D23" s="85" t="s">
        <v>41</v>
      </c>
      <c r="E23" s="52"/>
    </row>
    <row r="24" spans="1:5" ht="15.75" customHeight="1" x14ac:dyDescent="0.3">
      <c r="C24" s="95">
        <v>863.2</v>
      </c>
      <c r="D24" s="87">
        <f t="shared" ref="D24:D43" si="0">(C24-$C$46)/$C$46</f>
        <v>-6.9228932919551669E-3</v>
      </c>
      <c r="E24" s="53"/>
    </row>
    <row r="25" spans="1:5" ht="15.75" customHeight="1" x14ac:dyDescent="0.3">
      <c r="C25" s="95">
        <v>868.46</v>
      </c>
      <c r="D25" s="88">
        <f t="shared" si="0"/>
        <v>-8.7147348045805561E-4</v>
      </c>
      <c r="E25" s="53"/>
    </row>
    <row r="26" spans="1:5" ht="15.75" customHeight="1" x14ac:dyDescent="0.3">
      <c r="C26" s="95">
        <v>878.62</v>
      </c>
      <c r="D26" s="88">
        <f t="shared" si="0"/>
        <v>1.0817200528061063E-2</v>
      </c>
      <c r="E26" s="53"/>
    </row>
    <row r="27" spans="1:5" ht="15.75" customHeight="1" x14ac:dyDescent="0.3">
      <c r="C27" s="95">
        <v>875.21</v>
      </c>
      <c r="D27" s="88">
        <f t="shared" si="0"/>
        <v>6.8941317909498477E-3</v>
      </c>
      <c r="E27" s="53"/>
    </row>
    <row r="28" spans="1:5" ht="15.75" customHeight="1" x14ac:dyDescent="0.3">
      <c r="C28" s="95">
        <v>863.64</v>
      </c>
      <c r="D28" s="88">
        <f t="shared" si="0"/>
        <v>-6.4166908742634603E-3</v>
      </c>
      <c r="E28" s="53"/>
    </row>
    <row r="29" spans="1:5" ht="15.75" customHeight="1" x14ac:dyDescent="0.3">
      <c r="C29" s="95">
        <v>880.83</v>
      </c>
      <c r="D29" s="88">
        <f t="shared" si="0"/>
        <v>1.3359717216922064E-2</v>
      </c>
      <c r="E29" s="53"/>
    </row>
    <row r="30" spans="1:5" ht="15.75" customHeight="1" x14ac:dyDescent="0.3">
      <c r="C30" s="95">
        <v>869.84</v>
      </c>
      <c r="D30" s="88">
        <f t="shared" si="0"/>
        <v>7.1616137502977719E-4</v>
      </c>
      <c r="E30" s="53"/>
    </row>
    <row r="31" spans="1:5" ht="15.75" customHeight="1" x14ac:dyDescent="0.3">
      <c r="C31" s="95">
        <v>867.84</v>
      </c>
      <c r="D31" s="88">
        <f t="shared" si="0"/>
        <v>-1.5847587053873793E-3</v>
      </c>
      <c r="E31" s="53"/>
    </row>
    <row r="32" spans="1:5" ht="15.75" customHeight="1" x14ac:dyDescent="0.3">
      <c r="C32" s="95">
        <v>874.55</v>
      </c>
      <c r="D32" s="88">
        <f t="shared" si="0"/>
        <v>6.1348281644120917E-3</v>
      </c>
      <c r="E32" s="53"/>
    </row>
    <row r="33" spans="1:7" ht="15.75" customHeight="1" x14ac:dyDescent="0.3">
      <c r="C33" s="95">
        <v>862.01</v>
      </c>
      <c r="D33" s="88">
        <f t="shared" si="0"/>
        <v>-8.2919407398034384E-3</v>
      </c>
      <c r="E33" s="53"/>
    </row>
    <row r="34" spans="1:7" ht="15.75" customHeight="1" x14ac:dyDescent="0.3">
      <c r="C34" s="95">
        <v>871.52</v>
      </c>
      <c r="D34" s="88">
        <f t="shared" si="0"/>
        <v>2.6489342425801313E-3</v>
      </c>
      <c r="E34" s="53"/>
    </row>
    <row r="35" spans="1:7" ht="15.75" customHeight="1" x14ac:dyDescent="0.3">
      <c r="C35" s="95">
        <v>864.97</v>
      </c>
      <c r="D35" s="88">
        <f t="shared" si="0"/>
        <v>-4.8865790207860043E-3</v>
      </c>
      <c r="E35" s="53"/>
    </row>
    <row r="36" spans="1:7" ht="15.75" customHeight="1" x14ac:dyDescent="0.3">
      <c r="C36" s="95">
        <v>875.17</v>
      </c>
      <c r="D36" s="88">
        <f t="shared" si="0"/>
        <v>6.8481133893414162E-3</v>
      </c>
      <c r="E36" s="53"/>
    </row>
    <row r="37" spans="1:7" ht="15.75" customHeight="1" x14ac:dyDescent="0.3">
      <c r="C37" s="95">
        <v>866.51</v>
      </c>
      <c r="D37" s="88">
        <f t="shared" si="0"/>
        <v>-3.1148705588648355E-3</v>
      </c>
      <c r="E37" s="53"/>
    </row>
    <row r="38" spans="1:7" ht="15.75" customHeight="1" x14ac:dyDescent="0.3">
      <c r="C38" s="95">
        <v>867.2</v>
      </c>
      <c r="D38" s="88">
        <f t="shared" si="0"/>
        <v>-2.3210531311208538E-3</v>
      </c>
      <c r="E38" s="53"/>
    </row>
    <row r="39" spans="1:7" ht="15.75" customHeight="1" x14ac:dyDescent="0.3">
      <c r="C39" s="95">
        <v>872.11</v>
      </c>
      <c r="D39" s="88">
        <f t="shared" si="0"/>
        <v>3.327705666303229E-3</v>
      </c>
      <c r="E39" s="53"/>
    </row>
    <row r="40" spans="1:7" ht="15.75" customHeight="1" x14ac:dyDescent="0.3">
      <c r="C40" s="95">
        <v>857.44</v>
      </c>
      <c r="D40" s="88">
        <f t="shared" si="0"/>
        <v>-1.3549543123556567E-2</v>
      </c>
      <c r="E40" s="53"/>
    </row>
    <row r="41" spans="1:7" ht="15.75" customHeight="1" x14ac:dyDescent="0.3">
      <c r="C41" s="95">
        <v>871.3</v>
      </c>
      <c r="D41" s="88">
        <f t="shared" si="0"/>
        <v>2.3958330337342125E-3</v>
      </c>
      <c r="E41" s="53"/>
    </row>
    <row r="42" spans="1:7" ht="15.75" customHeight="1" x14ac:dyDescent="0.3">
      <c r="C42" s="95">
        <v>869.54</v>
      </c>
      <c r="D42" s="88">
        <f t="shared" si="0"/>
        <v>3.7102336296712527E-4</v>
      </c>
      <c r="E42" s="53"/>
    </row>
    <row r="43" spans="1:7" ht="16.5" customHeight="1" x14ac:dyDescent="0.3">
      <c r="C43" s="96">
        <v>864.39</v>
      </c>
      <c r="D43" s="89">
        <f t="shared" si="0"/>
        <v>-5.5538458441070264E-3</v>
      </c>
      <c r="E43" s="53"/>
    </row>
    <row r="44" spans="1:7" ht="16.5" customHeight="1" x14ac:dyDescent="0.3">
      <c r="C44" s="54"/>
      <c r="D44" s="53"/>
      <c r="E44" s="55"/>
    </row>
    <row r="45" spans="1:7" ht="16.5" customHeight="1" x14ac:dyDescent="0.3">
      <c r="B45" s="82" t="s">
        <v>42</v>
      </c>
      <c r="C45" s="83">
        <f>SUM(C24:C44)</f>
        <v>17384.350000000002</v>
      </c>
      <c r="D45" s="78"/>
      <c r="E45" s="54"/>
    </row>
    <row r="46" spans="1:7" ht="17.25" customHeight="1" x14ac:dyDescent="0.3">
      <c r="B46" s="82" t="s">
        <v>43</v>
      </c>
      <c r="C46" s="84">
        <f>AVERAGE(C24:C44)</f>
        <v>869.21750000000009</v>
      </c>
      <c r="E46" s="56"/>
    </row>
    <row r="47" spans="1:7" ht="17.25" customHeight="1" x14ac:dyDescent="0.3">
      <c r="A47" s="60"/>
      <c r="B47" s="79"/>
      <c r="D47" s="58"/>
      <c r="E47" s="56"/>
    </row>
    <row r="48" spans="1:7" ht="33.75" customHeight="1" x14ac:dyDescent="0.3">
      <c r="B48" s="92" t="s">
        <v>43</v>
      </c>
      <c r="C48" s="85" t="s">
        <v>44</v>
      </c>
      <c r="D48" s="80"/>
      <c r="G48" s="58"/>
    </row>
    <row r="49" spans="1:6" ht="17.25" customHeight="1" x14ac:dyDescent="0.3">
      <c r="B49" s="474">
        <f>C46</f>
        <v>869.21750000000009</v>
      </c>
      <c r="C49" s="93">
        <f>-IF(C46&lt;=80,10%,IF(C46&lt;250,7.5%,5%))</f>
        <v>-0.05</v>
      </c>
      <c r="D49" s="81">
        <f>IF(C46&lt;=80,C46*0.9,IF(C46&lt;250,C46*0.925,C46*0.95))</f>
        <v>825.7566250000001</v>
      </c>
    </row>
    <row r="50" spans="1:6" ht="17.25" customHeight="1" x14ac:dyDescent="0.3">
      <c r="B50" s="475"/>
      <c r="C50" s="94">
        <f>IF(C46&lt;=80, 10%, IF(C46&lt;250, 7.5%, 5%))</f>
        <v>0.05</v>
      </c>
      <c r="D50" s="81">
        <f>IF(C46&lt;=80, C46*1.1, IF(C46&lt;250, C46*1.075, C46*1.05))</f>
        <v>912.67837500000007</v>
      </c>
    </row>
    <row r="51" spans="1:6" ht="16.5" customHeight="1" x14ac:dyDescent="0.3">
      <c r="A51" s="63"/>
      <c r="B51" s="64"/>
      <c r="C51" s="60"/>
      <c r="D51" s="65"/>
      <c r="E51" s="60"/>
      <c r="F51" s="66"/>
    </row>
    <row r="52" spans="1:6" ht="16.5" customHeight="1" x14ac:dyDescent="0.3">
      <c r="A52" s="60"/>
      <c r="B52" s="67" t="s">
        <v>26</v>
      </c>
      <c r="C52" s="67"/>
      <c r="D52" s="68" t="s">
        <v>27</v>
      </c>
      <c r="E52" s="69"/>
      <c r="F52" s="68" t="s">
        <v>28</v>
      </c>
    </row>
    <row r="53" spans="1:6" ht="34.5" customHeight="1" x14ac:dyDescent="0.3">
      <c r="A53" s="70" t="s">
        <v>29</v>
      </c>
      <c r="B53" s="71"/>
      <c r="C53" s="72"/>
      <c r="D53" s="71"/>
      <c r="E53" s="61"/>
      <c r="F53" s="73"/>
    </row>
    <row r="54" spans="1:6" ht="34.5" customHeight="1" x14ac:dyDescent="0.3">
      <c r="A54" s="70" t="s">
        <v>30</v>
      </c>
      <c r="B54" s="74"/>
      <c r="C54" s="75"/>
      <c r="D54" s="74"/>
      <c r="E54" s="61"/>
      <c r="F54" s="76"/>
    </row>
  </sheetData>
  <sheetProtection password="F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38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37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36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35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34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33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32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31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30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9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28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27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26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25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24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23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22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21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0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9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18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A79" zoomScale="48" zoomScaleNormal="40" zoomScalePageLayoutView="48" workbookViewId="0">
      <selection activeCell="F91" sqref="F91:F93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512" t="s">
        <v>45</v>
      </c>
      <c r="B1" s="512"/>
      <c r="C1" s="512"/>
      <c r="D1" s="512"/>
      <c r="E1" s="512"/>
      <c r="F1" s="512"/>
      <c r="G1" s="512"/>
      <c r="H1" s="512"/>
      <c r="I1" s="512"/>
    </row>
    <row r="2" spans="1:9" ht="18.75" customHeight="1" x14ac:dyDescent="0.25">
      <c r="A2" s="512"/>
      <c r="B2" s="512"/>
      <c r="C2" s="512"/>
      <c r="D2" s="512"/>
      <c r="E2" s="512"/>
      <c r="F2" s="512"/>
      <c r="G2" s="512"/>
      <c r="H2" s="512"/>
      <c r="I2" s="512"/>
    </row>
    <row r="3" spans="1:9" ht="18.75" customHeight="1" x14ac:dyDescent="0.25">
      <c r="A3" s="512"/>
      <c r="B3" s="512"/>
      <c r="C3" s="512"/>
      <c r="D3" s="512"/>
      <c r="E3" s="512"/>
      <c r="F3" s="512"/>
      <c r="G3" s="512"/>
      <c r="H3" s="512"/>
      <c r="I3" s="512"/>
    </row>
    <row r="4" spans="1:9" ht="18.75" customHeight="1" x14ac:dyDescent="0.25">
      <c r="A4" s="512"/>
      <c r="B4" s="512"/>
      <c r="C4" s="512"/>
      <c r="D4" s="512"/>
      <c r="E4" s="512"/>
      <c r="F4" s="512"/>
      <c r="G4" s="512"/>
      <c r="H4" s="512"/>
      <c r="I4" s="512"/>
    </row>
    <row r="5" spans="1:9" ht="18.75" customHeight="1" x14ac:dyDescent="0.25">
      <c r="A5" s="512"/>
      <c r="B5" s="512"/>
      <c r="C5" s="512"/>
      <c r="D5" s="512"/>
      <c r="E5" s="512"/>
      <c r="F5" s="512"/>
      <c r="G5" s="512"/>
      <c r="H5" s="512"/>
      <c r="I5" s="512"/>
    </row>
    <row r="6" spans="1:9" ht="18.75" customHeight="1" x14ac:dyDescent="0.25">
      <c r="A6" s="512"/>
      <c r="B6" s="512"/>
      <c r="C6" s="512"/>
      <c r="D6" s="512"/>
      <c r="E6" s="512"/>
      <c r="F6" s="512"/>
      <c r="G6" s="512"/>
      <c r="H6" s="512"/>
      <c r="I6" s="512"/>
    </row>
    <row r="7" spans="1:9" ht="18.75" customHeight="1" x14ac:dyDescent="0.25">
      <c r="A7" s="512"/>
      <c r="B7" s="512"/>
      <c r="C7" s="512"/>
      <c r="D7" s="512"/>
      <c r="E7" s="512"/>
      <c r="F7" s="512"/>
      <c r="G7" s="512"/>
      <c r="H7" s="512"/>
      <c r="I7" s="512"/>
    </row>
    <row r="8" spans="1:9" x14ac:dyDescent="0.25">
      <c r="A8" s="513" t="s">
        <v>46</v>
      </c>
      <c r="B8" s="513"/>
      <c r="C8" s="513"/>
      <c r="D8" s="513"/>
      <c r="E8" s="513"/>
      <c r="F8" s="513"/>
      <c r="G8" s="513"/>
      <c r="H8" s="513"/>
      <c r="I8" s="513"/>
    </row>
    <row r="9" spans="1:9" x14ac:dyDescent="0.25">
      <c r="A9" s="513"/>
      <c r="B9" s="513"/>
      <c r="C9" s="513"/>
      <c r="D9" s="513"/>
      <c r="E9" s="513"/>
      <c r="F9" s="513"/>
      <c r="G9" s="513"/>
      <c r="H9" s="513"/>
      <c r="I9" s="513"/>
    </row>
    <row r="10" spans="1:9" x14ac:dyDescent="0.25">
      <c r="A10" s="513"/>
      <c r="B10" s="513"/>
      <c r="C10" s="513"/>
      <c r="D10" s="513"/>
      <c r="E10" s="513"/>
      <c r="F10" s="513"/>
      <c r="G10" s="513"/>
      <c r="H10" s="513"/>
      <c r="I10" s="513"/>
    </row>
    <row r="11" spans="1:9" x14ac:dyDescent="0.25">
      <c r="A11" s="513"/>
      <c r="B11" s="513"/>
      <c r="C11" s="513"/>
      <c r="D11" s="513"/>
      <c r="E11" s="513"/>
      <c r="F11" s="513"/>
      <c r="G11" s="513"/>
      <c r="H11" s="513"/>
      <c r="I11" s="513"/>
    </row>
    <row r="12" spans="1:9" x14ac:dyDescent="0.25">
      <c r="A12" s="513"/>
      <c r="B12" s="513"/>
      <c r="C12" s="513"/>
      <c r="D12" s="513"/>
      <c r="E12" s="513"/>
      <c r="F12" s="513"/>
      <c r="G12" s="513"/>
      <c r="H12" s="513"/>
      <c r="I12" s="513"/>
    </row>
    <row r="13" spans="1:9" x14ac:dyDescent="0.25">
      <c r="A13" s="513"/>
      <c r="B13" s="513"/>
      <c r="C13" s="513"/>
      <c r="D13" s="513"/>
      <c r="E13" s="513"/>
      <c r="F13" s="513"/>
      <c r="G13" s="513"/>
      <c r="H13" s="513"/>
      <c r="I13" s="513"/>
    </row>
    <row r="14" spans="1:9" x14ac:dyDescent="0.25">
      <c r="A14" s="513"/>
      <c r="B14" s="513"/>
      <c r="C14" s="513"/>
      <c r="D14" s="513"/>
      <c r="E14" s="513"/>
      <c r="F14" s="513"/>
      <c r="G14" s="513"/>
      <c r="H14" s="513"/>
      <c r="I14" s="513"/>
    </row>
    <row r="15" spans="1:9" ht="19.5" customHeight="1" x14ac:dyDescent="0.3">
      <c r="A15" s="98"/>
    </row>
    <row r="16" spans="1:9" ht="19.5" customHeight="1" x14ac:dyDescent="0.3">
      <c r="A16" s="485" t="s">
        <v>31</v>
      </c>
      <c r="B16" s="486"/>
      <c r="C16" s="486"/>
      <c r="D16" s="486"/>
      <c r="E16" s="486"/>
      <c r="F16" s="486"/>
      <c r="G16" s="486"/>
      <c r="H16" s="487"/>
    </row>
    <row r="17" spans="1:14" ht="20.25" customHeight="1" x14ac:dyDescent="0.25">
      <c r="A17" s="488" t="s">
        <v>47</v>
      </c>
      <c r="B17" s="488"/>
      <c r="C17" s="488"/>
      <c r="D17" s="488"/>
      <c r="E17" s="488"/>
      <c r="F17" s="488"/>
      <c r="G17" s="488"/>
      <c r="H17" s="488"/>
    </row>
    <row r="18" spans="1:14" ht="26.25" customHeight="1" x14ac:dyDescent="0.4">
      <c r="A18" s="100" t="s">
        <v>33</v>
      </c>
      <c r="B18" s="484" t="s">
        <v>5</v>
      </c>
      <c r="C18" s="484"/>
      <c r="D18" s="246"/>
      <c r="E18" s="101"/>
      <c r="F18" s="102"/>
      <c r="G18" s="102"/>
      <c r="H18" s="102"/>
    </row>
    <row r="19" spans="1:14" ht="26.25" customHeight="1" x14ac:dyDescent="0.4">
      <c r="A19" s="100" t="s">
        <v>34</v>
      </c>
      <c r="B19" s="103" t="s">
        <v>7</v>
      </c>
      <c r="C19" s="255">
        <v>1</v>
      </c>
      <c r="D19" s="102"/>
      <c r="E19" s="102"/>
      <c r="F19" s="102"/>
      <c r="G19" s="102"/>
      <c r="H19" s="102"/>
    </row>
    <row r="20" spans="1:14" ht="26.25" customHeight="1" x14ac:dyDescent="0.4">
      <c r="A20" s="100" t="s">
        <v>35</v>
      </c>
      <c r="B20" s="489" t="s">
        <v>9</v>
      </c>
      <c r="C20" s="489"/>
      <c r="D20" s="102"/>
      <c r="E20" s="102"/>
      <c r="F20" s="102"/>
      <c r="G20" s="102"/>
      <c r="H20" s="102"/>
    </row>
    <row r="21" spans="1:14" ht="26.25" customHeight="1" x14ac:dyDescent="0.4">
      <c r="A21" s="100" t="s">
        <v>36</v>
      </c>
      <c r="B21" s="489" t="s">
        <v>11</v>
      </c>
      <c r="C21" s="489"/>
      <c r="D21" s="489"/>
      <c r="E21" s="489"/>
      <c r="F21" s="489"/>
      <c r="G21" s="489"/>
      <c r="H21" s="489"/>
      <c r="I21" s="104"/>
    </row>
    <row r="22" spans="1:14" ht="26.25" customHeight="1" x14ac:dyDescent="0.4">
      <c r="A22" s="100" t="s">
        <v>37</v>
      </c>
      <c r="B22" s="105" t="s">
        <v>12</v>
      </c>
      <c r="C22" s="102"/>
      <c r="D22" s="102"/>
      <c r="E22" s="102"/>
      <c r="F22" s="102"/>
      <c r="G22" s="102"/>
      <c r="H22" s="102"/>
    </row>
    <row r="23" spans="1:14" ht="26.25" customHeight="1" x14ac:dyDescent="0.4">
      <c r="A23" s="100" t="s">
        <v>38</v>
      </c>
      <c r="B23" s="105">
        <v>42762</v>
      </c>
      <c r="C23" s="102"/>
      <c r="D23" s="102"/>
      <c r="E23" s="102"/>
      <c r="F23" s="102"/>
      <c r="G23" s="102"/>
      <c r="H23" s="102"/>
    </row>
    <row r="24" spans="1:14" ht="18.75" x14ac:dyDescent="0.3">
      <c r="A24" s="100"/>
      <c r="B24" s="106"/>
    </row>
    <row r="25" spans="1:14" ht="18.75" x14ac:dyDescent="0.3">
      <c r="A25" s="107" t="s">
        <v>1</v>
      </c>
      <c r="B25" s="106"/>
    </row>
    <row r="26" spans="1:14" ht="26.25" customHeight="1" x14ac:dyDescent="0.4">
      <c r="A26" s="108" t="s">
        <v>4</v>
      </c>
      <c r="B26" s="484" t="s">
        <v>131</v>
      </c>
      <c r="C26" s="484"/>
    </row>
    <row r="27" spans="1:14" ht="26.25" customHeight="1" x14ac:dyDescent="0.4">
      <c r="A27" s="109" t="s">
        <v>48</v>
      </c>
      <c r="B27" s="490" t="s">
        <v>135</v>
      </c>
      <c r="C27" s="490"/>
    </row>
    <row r="28" spans="1:14" ht="27" customHeight="1" x14ac:dyDescent="0.4">
      <c r="A28" s="109" t="s">
        <v>6</v>
      </c>
      <c r="B28" s="110">
        <v>99.8</v>
      </c>
    </row>
    <row r="29" spans="1:14" s="14" customFormat="1" ht="27" customHeight="1" x14ac:dyDescent="0.4">
      <c r="A29" s="109" t="s">
        <v>49</v>
      </c>
      <c r="B29" s="111">
        <v>0</v>
      </c>
      <c r="C29" s="491" t="s">
        <v>50</v>
      </c>
      <c r="D29" s="492"/>
      <c r="E29" s="492"/>
      <c r="F29" s="492"/>
      <c r="G29" s="493"/>
      <c r="I29" s="112"/>
      <c r="J29" s="112"/>
      <c r="K29" s="112"/>
      <c r="L29" s="112"/>
    </row>
    <row r="30" spans="1:14" s="14" customFormat="1" ht="19.5" customHeight="1" x14ac:dyDescent="0.3">
      <c r="A30" s="109" t="s">
        <v>51</v>
      </c>
      <c r="B30" s="113">
        <f>B28-B29</f>
        <v>99.8</v>
      </c>
      <c r="C30" s="114"/>
      <c r="D30" s="114"/>
      <c r="E30" s="114"/>
      <c r="F30" s="114"/>
      <c r="G30" s="115"/>
      <c r="I30" s="112"/>
      <c r="J30" s="112"/>
      <c r="K30" s="112"/>
      <c r="L30" s="112"/>
    </row>
    <row r="31" spans="1:14" s="14" customFormat="1" ht="27" customHeight="1" x14ac:dyDescent="0.4">
      <c r="A31" s="109" t="s">
        <v>52</v>
      </c>
      <c r="B31" s="116">
        <v>1</v>
      </c>
      <c r="C31" s="494" t="s">
        <v>53</v>
      </c>
      <c r="D31" s="495"/>
      <c r="E31" s="495"/>
      <c r="F31" s="495"/>
      <c r="G31" s="495"/>
      <c r="H31" s="496"/>
      <c r="I31" s="112"/>
      <c r="J31" s="112"/>
      <c r="K31" s="112"/>
      <c r="L31" s="112"/>
    </row>
    <row r="32" spans="1:14" s="14" customFormat="1" ht="27" customHeight="1" x14ac:dyDescent="0.4">
      <c r="A32" s="109" t="s">
        <v>54</v>
      </c>
      <c r="B32" s="116">
        <v>1</v>
      </c>
      <c r="C32" s="494" t="s">
        <v>55</v>
      </c>
      <c r="D32" s="495"/>
      <c r="E32" s="495"/>
      <c r="F32" s="495"/>
      <c r="G32" s="495"/>
      <c r="H32" s="496"/>
      <c r="I32" s="112"/>
      <c r="J32" s="112"/>
      <c r="K32" s="112"/>
      <c r="L32" s="117"/>
      <c r="M32" s="117"/>
      <c r="N32" s="118"/>
    </row>
    <row r="33" spans="1:14" s="14" customFormat="1" ht="17.25" customHeight="1" x14ac:dyDescent="0.3">
      <c r="A33" s="109"/>
      <c r="B33" s="119"/>
      <c r="C33" s="120"/>
      <c r="D33" s="120"/>
      <c r="E33" s="120"/>
      <c r="F33" s="120"/>
      <c r="G33" s="120"/>
      <c r="H33" s="120"/>
      <c r="I33" s="112"/>
      <c r="J33" s="112"/>
      <c r="K33" s="112"/>
      <c r="L33" s="117"/>
      <c r="M33" s="117"/>
      <c r="N33" s="118"/>
    </row>
    <row r="34" spans="1:14" s="14" customFormat="1" ht="18.75" x14ac:dyDescent="0.3">
      <c r="A34" s="109" t="s">
        <v>56</v>
      </c>
      <c r="B34" s="121">
        <f>B31/B32</f>
        <v>1</v>
      </c>
      <c r="C34" s="99" t="s">
        <v>57</v>
      </c>
      <c r="D34" s="99"/>
      <c r="E34" s="99"/>
      <c r="F34" s="99"/>
      <c r="G34" s="99"/>
      <c r="I34" s="112"/>
      <c r="J34" s="112"/>
      <c r="K34" s="112"/>
      <c r="L34" s="117"/>
      <c r="M34" s="117"/>
      <c r="N34" s="118"/>
    </row>
    <row r="35" spans="1:14" s="14" customFormat="1" ht="19.5" customHeight="1" x14ac:dyDescent="0.3">
      <c r="A35" s="109"/>
      <c r="B35" s="113"/>
      <c r="G35" s="99"/>
      <c r="I35" s="112"/>
      <c r="J35" s="112"/>
      <c r="K35" s="112"/>
      <c r="L35" s="117"/>
      <c r="M35" s="117"/>
      <c r="N35" s="118"/>
    </row>
    <row r="36" spans="1:14" s="14" customFormat="1" ht="27" customHeight="1" x14ac:dyDescent="0.4">
      <c r="A36" s="122" t="s">
        <v>58</v>
      </c>
      <c r="B36" s="123">
        <v>50</v>
      </c>
      <c r="C36" s="99"/>
      <c r="D36" s="497" t="s">
        <v>59</v>
      </c>
      <c r="E36" s="498"/>
      <c r="F36" s="497" t="s">
        <v>60</v>
      </c>
      <c r="G36" s="499"/>
      <c r="J36" s="112"/>
      <c r="K36" s="112"/>
      <c r="L36" s="117"/>
      <c r="M36" s="117"/>
      <c r="N36" s="118"/>
    </row>
    <row r="37" spans="1:14" s="14" customFormat="1" ht="27" customHeight="1" x14ac:dyDescent="0.4">
      <c r="A37" s="124" t="s">
        <v>61</v>
      </c>
      <c r="B37" s="125">
        <v>10</v>
      </c>
      <c r="C37" s="126" t="s">
        <v>62</v>
      </c>
      <c r="D37" s="127" t="s">
        <v>63</v>
      </c>
      <c r="E37" s="128" t="s">
        <v>64</v>
      </c>
      <c r="F37" s="127" t="s">
        <v>63</v>
      </c>
      <c r="G37" s="129" t="s">
        <v>64</v>
      </c>
      <c r="I37" s="130" t="s">
        <v>65</v>
      </c>
      <c r="J37" s="112"/>
      <c r="K37" s="112"/>
      <c r="L37" s="117"/>
      <c r="M37" s="117"/>
      <c r="N37" s="118"/>
    </row>
    <row r="38" spans="1:14" s="14" customFormat="1" ht="26.25" customHeight="1" x14ac:dyDescent="0.4">
      <c r="A38" s="124" t="s">
        <v>66</v>
      </c>
      <c r="B38" s="125">
        <v>25</v>
      </c>
      <c r="C38" s="131">
        <v>1</v>
      </c>
      <c r="D38" s="132">
        <v>28064889</v>
      </c>
      <c r="E38" s="133">
        <f>IF(ISBLANK(D38),"-",$D$48/$D$45*D38)</f>
        <v>23421264.238638297</v>
      </c>
      <c r="F38" s="132">
        <v>24358997</v>
      </c>
      <c r="G38" s="134">
        <f>IF(ISBLANK(F38),"-",$D$48/$F$45*F38)</f>
        <v>23743008.390321501</v>
      </c>
      <c r="I38" s="135"/>
      <c r="J38" s="112"/>
      <c r="K38" s="112"/>
      <c r="L38" s="117"/>
      <c r="M38" s="117"/>
      <c r="N38" s="118"/>
    </row>
    <row r="39" spans="1:14" s="14" customFormat="1" ht="26.25" customHeight="1" x14ac:dyDescent="0.4">
      <c r="A39" s="124" t="s">
        <v>67</v>
      </c>
      <c r="B39" s="125">
        <v>1</v>
      </c>
      <c r="C39" s="136">
        <v>2</v>
      </c>
      <c r="D39" s="137">
        <v>27943557</v>
      </c>
      <c r="E39" s="138">
        <f>IF(ISBLANK(D39),"-",$D$48/$D$45*D39)</f>
        <v>23320007.866927635</v>
      </c>
      <c r="F39" s="137">
        <v>24379735</v>
      </c>
      <c r="G39" s="139">
        <f>IF(ISBLANK(F39),"-",$D$48/$F$45*F39)</f>
        <v>23763221.969230291</v>
      </c>
      <c r="I39" s="501">
        <f>ABS((F43/D43*D42)-F42)/D42</f>
        <v>1.2153711417718533E-2</v>
      </c>
      <c r="J39" s="112"/>
      <c r="K39" s="112"/>
      <c r="L39" s="117"/>
      <c r="M39" s="117"/>
      <c r="N39" s="118"/>
    </row>
    <row r="40" spans="1:14" ht="26.25" customHeight="1" x14ac:dyDescent="0.4">
      <c r="A40" s="124" t="s">
        <v>68</v>
      </c>
      <c r="B40" s="125">
        <v>1</v>
      </c>
      <c r="C40" s="136">
        <v>3</v>
      </c>
      <c r="D40" s="137">
        <v>28146270</v>
      </c>
      <c r="E40" s="138">
        <f>IF(ISBLANK(D40),"-",$D$48/$D$45*D40)</f>
        <v>23489179.914520878</v>
      </c>
      <c r="F40" s="137">
        <v>24336571</v>
      </c>
      <c r="G40" s="139">
        <f>IF(ISBLANK(F40),"-",$D$48/$F$45*F40)</f>
        <v>23721149.497438461</v>
      </c>
      <c r="I40" s="501"/>
      <c r="L40" s="117"/>
      <c r="M40" s="117"/>
      <c r="N40" s="140"/>
    </row>
    <row r="41" spans="1:14" ht="27" customHeight="1" x14ac:dyDescent="0.4">
      <c r="A41" s="124" t="s">
        <v>69</v>
      </c>
      <c r="B41" s="125">
        <v>1</v>
      </c>
      <c r="C41" s="141">
        <v>4</v>
      </c>
      <c r="D41" s="142"/>
      <c r="E41" s="143" t="str">
        <f>IF(ISBLANK(D41),"-",$D$48/$D$45*D41)</f>
        <v>-</v>
      </c>
      <c r="F41" s="142"/>
      <c r="G41" s="144" t="str">
        <f>IF(ISBLANK(F41),"-",$D$48/$F$45*F41)</f>
        <v>-</v>
      </c>
      <c r="I41" s="145"/>
      <c r="L41" s="117"/>
      <c r="M41" s="117"/>
      <c r="N41" s="140"/>
    </row>
    <row r="42" spans="1:14" ht="27" customHeight="1" x14ac:dyDescent="0.4">
      <c r="A42" s="124" t="s">
        <v>70</v>
      </c>
      <c r="B42" s="125">
        <v>1</v>
      </c>
      <c r="C42" s="146" t="s">
        <v>71</v>
      </c>
      <c r="D42" s="147">
        <f>AVERAGE(D38:D41)</f>
        <v>28051572</v>
      </c>
      <c r="E42" s="148">
        <f>AVERAGE(E38:E41)</f>
        <v>23410150.67336227</v>
      </c>
      <c r="F42" s="147">
        <f>AVERAGE(F38:F41)</f>
        <v>24358434.333333332</v>
      </c>
      <c r="G42" s="149">
        <f>AVERAGE(G38:G41)</f>
        <v>23742459.952330083</v>
      </c>
      <c r="H42" s="150"/>
    </row>
    <row r="43" spans="1:14" ht="26.25" customHeight="1" x14ac:dyDescent="0.4">
      <c r="A43" s="124" t="s">
        <v>72</v>
      </c>
      <c r="B43" s="125">
        <v>1</v>
      </c>
      <c r="C43" s="151" t="s">
        <v>73</v>
      </c>
      <c r="D43" s="152">
        <v>18.010000000000002</v>
      </c>
      <c r="E43" s="140"/>
      <c r="F43" s="152">
        <v>15.42</v>
      </c>
      <c r="H43" s="150"/>
    </row>
    <row r="44" spans="1:14" ht="26.25" customHeight="1" x14ac:dyDescent="0.4">
      <c r="A44" s="124" t="s">
        <v>74</v>
      </c>
      <c r="B44" s="125">
        <v>1</v>
      </c>
      <c r="C44" s="153" t="s">
        <v>75</v>
      </c>
      <c r="D44" s="154">
        <f>D43*$B$34</f>
        <v>18.010000000000002</v>
      </c>
      <c r="E44" s="155"/>
      <c r="F44" s="154">
        <f>F43*$B$34</f>
        <v>15.42</v>
      </c>
      <c r="H44" s="150"/>
    </row>
    <row r="45" spans="1:14" ht="19.5" customHeight="1" x14ac:dyDescent="0.3">
      <c r="A45" s="124" t="s">
        <v>76</v>
      </c>
      <c r="B45" s="156">
        <f>(B44/B43)*(B42/B41)*(B40/B39)*(B38/B37)*B36</f>
        <v>125</v>
      </c>
      <c r="C45" s="153" t="s">
        <v>77</v>
      </c>
      <c r="D45" s="157">
        <f>D44*$B$30/100</f>
        <v>17.973980000000001</v>
      </c>
      <c r="E45" s="158"/>
      <c r="F45" s="157">
        <f>F44*$B$30/100</f>
        <v>15.389159999999999</v>
      </c>
      <c r="H45" s="150"/>
    </row>
    <row r="46" spans="1:14" ht="19.5" customHeight="1" x14ac:dyDescent="0.3">
      <c r="A46" s="502" t="s">
        <v>78</v>
      </c>
      <c r="B46" s="503"/>
      <c r="C46" s="153" t="s">
        <v>79</v>
      </c>
      <c r="D46" s="159">
        <f>D45/$B$45</f>
        <v>0.14379184</v>
      </c>
      <c r="E46" s="160"/>
      <c r="F46" s="161">
        <f>F45/$B$45</f>
        <v>0.12311327999999999</v>
      </c>
      <c r="H46" s="150"/>
    </row>
    <row r="47" spans="1:14" ht="27" customHeight="1" x14ac:dyDescent="0.4">
      <c r="A47" s="504"/>
      <c r="B47" s="505"/>
      <c r="C47" s="162" t="s">
        <v>80</v>
      </c>
      <c r="D47" s="163">
        <v>0.12</v>
      </c>
      <c r="E47" s="164"/>
      <c r="F47" s="160"/>
      <c r="H47" s="150"/>
    </row>
    <row r="48" spans="1:14" ht="18.75" x14ac:dyDescent="0.3">
      <c r="C48" s="165" t="s">
        <v>81</v>
      </c>
      <c r="D48" s="157">
        <f>D47*$B$45</f>
        <v>15</v>
      </c>
      <c r="F48" s="166"/>
      <c r="H48" s="150"/>
    </row>
    <row r="49" spans="1:12" ht="19.5" customHeight="1" x14ac:dyDescent="0.3">
      <c r="C49" s="167" t="s">
        <v>82</v>
      </c>
      <c r="D49" s="168">
        <f>D48/B34</f>
        <v>15</v>
      </c>
      <c r="F49" s="166"/>
      <c r="H49" s="150"/>
    </row>
    <row r="50" spans="1:12" ht="18.75" x14ac:dyDescent="0.3">
      <c r="C50" s="122" t="s">
        <v>83</v>
      </c>
      <c r="D50" s="169">
        <f>AVERAGE(E38:E41,G38:G41)</f>
        <v>23576305.31284618</v>
      </c>
      <c r="F50" s="170"/>
      <c r="H50" s="150"/>
    </row>
    <row r="51" spans="1:12" ht="18.75" x14ac:dyDescent="0.3">
      <c r="C51" s="124" t="s">
        <v>84</v>
      </c>
      <c r="D51" s="171">
        <f>STDEV(E38:E41,G38:G41)/D50</f>
        <v>8.0706400471492364E-3</v>
      </c>
      <c r="F51" s="170"/>
      <c r="H51" s="150"/>
    </row>
    <row r="52" spans="1:12" ht="19.5" customHeight="1" x14ac:dyDescent="0.3">
      <c r="C52" s="172" t="s">
        <v>20</v>
      </c>
      <c r="D52" s="173">
        <f>COUNT(E38:E41,G38:G41)</f>
        <v>6</v>
      </c>
      <c r="F52" s="170"/>
    </row>
    <row r="54" spans="1:12" ht="18.75" x14ac:dyDescent="0.3">
      <c r="A54" s="174" t="s">
        <v>1</v>
      </c>
      <c r="B54" s="175" t="s">
        <v>85</v>
      </c>
    </row>
    <row r="55" spans="1:12" ht="18.75" x14ac:dyDescent="0.3">
      <c r="A55" s="99" t="s">
        <v>86</v>
      </c>
      <c r="B55" s="176" t="str">
        <f>B21</f>
        <v>Each film coated tablet contains: Tenofovir Disoproxil Fumarate 300 mg equivalent to Tenofovir Disoproxil 245 mg and Lamivudine USP 300 mg.</v>
      </c>
    </row>
    <row r="56" spans="1:12" ht="26.25" customHeight="1" x14ac:dyDescent="0.4">
      <c r="A56" s="177" t="s">
        <v>87</v>
      </c>
      <c r="B56" s="178">
        <v>300</v>
      </c>
      <c r="C56" s="99" t="str">
        <f>B20</f>
        <v>Lamivudine and Tenofovir Disoproxil Fumarate</v>
      </c>
      <c r="H56" s="179"/>
    </row>
    <row r="57" spans="1:12" ht="18.75" x14ac:dyDescent="0.3">
      <c r="A57" s="176" t="s">
        <v>88</v>
      </c>
      <c r="B57" s="247">
        <f>Uniformity!C46</f>
        <v>869.21750000000009</v>
      </c>
      <c r="H57" s="179"/>
    </row>
    <row r="58" spans="1:12" ht="19.5" customHeight="1" x14ac:dyDescent="0.3">
      <c r="H58" s="179"/>
    </row>
    <row r="59" spans="1:12" s="14" customFormat="1" ht="27" customHeight="1" x14ac:dyDescent="0.4">
      <c r="A59" s="122" t="s">
        <v>89</v>
      </c>
      <c r="B59" s="123">
        <v>200</v>
      </c>
      <c r="C59" s="99"/>
      <c r="D59" s="180" t="s">
        <v>90</v>
      </c>
      <c r="E59" s="181" t="s">
        <v>62</v>
      </c>
      <c r="F59" s="181" t="s">
        <v>63</v>
      </c>
      <c r="G59" s="181" t="s">
        <v>91</v>
      </c>
      <c r="H59" s="126" t="s">
        <v>92</v>
      </c>
      <c r="L59" s="112"/>
    </row>
    <row r="60" spans="1:12" s="14" customFormat="1" ht="26.25" customHeight="1" x14ac:dyDescent="0.4">
      <c r="A60" s="124" t="s">
        <v>93</v>
      </c>
      <c r="B60" s="125">
        <v>4</v>
      </c>
      <c r="C60" s="506" t="s">
        <v>94</v>
      </c>
      <c r="D60" s="509">
        <v>863.35</v>
      </c>
      <c r="E60" s="182">
        <v>1</v>
      </c>
      <c r="F60" s="183">
        <v>22739859</v>
      </c>
      <c r="G60" s="248">
        <f>IF(ISBLANK(F60),"-",(F60/$D$50*$D$47*$B$68)*($B$57/$D$60))</f>
        <v>291.32304674331704</v>
      </c>
      <c r="H60" s="266">
        <f t="shared" ref="H60:H71" si="0">IF(ISBLANK(F60),"-",(G60/$B$56)*100)</f>
        <v>97.107682247772345</v>
      </c>
      <c r="L60" s="112"/>
    </row>
    <row r="61" spans="1:12" s="14" customFormat="1" ht="26.25" customHeight="1" x14ac:dyDescent="0.4">
      <c r="A61" s="124" t="s">
        <v>95</v>
      </c>
      <c r="B61" s="125">
        <v>50</v>
      </c>
      <c r="C61" s="507"/>
      <c r="D61" s="510"/>
      <c r="E61" s="184">
        <v>2</v>
      </c>
      <c r="F61" s="137">
        <v>22748990</v>
      </c>
      <c r="G61" s="249">
        <f>IF(ISBLANK(F61),"-",(F61/$D$50*$D$47*$B$68)*($B$57/$D$60))</f>
        <v>291.44002507373733</v>
      </c>
      <c r="H61" s="267">
        <f t="shared" si="0"/>
        <v>97.14667502457911</v>
      </c>
      <c r="L61" s="112"/>
    </row>
    <row r="62" spans="1:12" s="14" customFormat="1" ht="26.25" customHeight="1" x14ac:dyDescent="0.4">
      <c r="A62" s="124" t="s">
        <v>96</v>
      </c>
      <c r="B62" s="125">
        <v>1</v>
      </c>
      <c r="C62" s="507"/>
      <c r="D62" s="510"/>
      <c r="E62" s="184">
        <v>3</v>
      </c>
      <c r="F62" s="185">
        <v>22639525</v>
      </c>
      <c r="G62" s="249">
        <f>IF(ISBLANK(F62),"-",(F62/$D$50*$D$47*$B$68)*($B$57/$D$60))</f>
        <v>290.03765589845978</v>
      </c>
      <c r="H62" s="267">
        <f t="shared" si="0"/>
        <v>96.679218632819925</v>
      </c>
      <c r="L62" s="112"/>
    </row>
    <row r="63" spans="1:12" ht="27" customHeight="1" x14ac:dyDescent="0.4">
      <c r="A63" s="124" t="s">
        <v>97</v>
      </c>
      <c r="B63" s="125">
        <v>1</v>
      </c>
      <c r="C63" s="508"/>
      <c r="D63" s="511"/>
      <c r="E63" s="186">
        <v>4</v>
      </c>
      <c r="F63" s="187"/>
      <c r="G63" s="249" t="str">
        <f>IF(ISBLANK(F63),"-",(F63/$D$50*$D$47*$B$68)*($B$57/$D$60))</f>
        <v>-</v>
      </c>
      <c r="H63" s="267" t="str">
        <f t="shared" si="0"/>
        <v>-</v>
      </c>
    </row>
    <row r="64" spans="1:12" ht="26.25" customHeight="1" x14ac:dyDescent="0.4">
      <c r="A64" s="124" t="s">
        <v>98</v>
      </c>
      <c r="B64" s="125">
        <v>1</v>
      </c>
      <c r="C64" s="506" t="s">
        <v>99</v>
      </c>
      <c r="D64" s="509">
        <v>871.16</v>
      </c>
      <c r="E64" s="182">
        <v>1</v>
      </c>
      <c r="F64" s="183"/>
      <c r="G64" s="248" t="str">
        <f>IF(ISBLANK(F64),"-",(F64/$D$50*$D$47*$B$68)*($B$57/$D$64))</f>
        <v>-</v>
      </c>
      <c r="H64" s="266" t="str">
        <f t="shared" si="0"/>
        <v>-</v>
      </c>
    </row>
    <row r="65" spans="1:8" ht="26.25" customHeight="1" x14ac:dyDescent="0.4">
      <c r="A65" s="124" t="s">
        <v>100</v>
      </c>
      <c r="B65" s="125">
        <v>1</v>
      </c>
      <c r="C65" s="507"/>
      <c r="D65" s="510"/>
      <c r="E65" s="184">
        <v>2</v>
      </c>
      <c r="F65" s="137"/>
      <c r="G65" s="249" t="str">
        <f>IF(ISBLANK(F65),"-",(F65/$D$50*$D$47*$B$68)*($B$57/$D$64))</f>
        <v>-</v>
      </c>
      <c r="H65" s="267" t="str">
        <f t="shared" si="0"/>
        <v>-</v>
      </c>
    </row>
    <row r="66" spans="1:8" ht="26.25" customHeight="1" x14ac:dyDescent="0.4">
      <c r="A66" s="124" t="s">
        <v>101</v>
      </c>
      <c r="B66" s="125">
        <v>1</v>
      </c>
      <c r="C66" s="507"/>
      <c r="D66" s="510"/>
      <c r="E66" s="184">
        <v>3</v>
      </c>
      <c r="F66" s="137"/>
      <c r="G66" s="249" t="str">
        <f>IF(ISBLANK(F66),"-",(F66/$D$50*$D$47*$B$68)*($B$57/$D$64))</f>
        <v>-</v>
      </c>
      <c r="H66" s="267" t="str">
        <f t="shared" si="0"/>
        <v>-</v>
      </c>
    </row>
    <row r="67" spans="1:8" ht="27" customHeight="1" x14ac:dyDescent="0.4">
      <c r="A67" s="124" t="s">
        <v>102</v>
      </c>
      <c r="B67" s="125">
        <v>1</v>
      </c>
      <c r="C67" s="508"/>
      <c r="D67" s="511"/>
      <c r="E67" s="186">
        <v>4</v>
      </c>
      <c r="F67" s="187"/>
      <c r="G67" s="265" t="str">
        <f>IF(ISBLANK(F67),"-",(F67/$D$50*$D$47*$B$68)*($B$57/$D$64))</f>
        <v>-</v>
      </c>
      <c r="H67" s="268" t="str">
        <f t="shared" si="0"/>
        <v>-</v>
      </c>
    </row>
    <row r="68" spans="1:8" ht="26.25" customHeight="1" x14ac:dyDescent="0.4">
      <c r="A68" s="124" t="s">
        <v>103</v>
      </c>
      <c r="B68" s="188">
        <f>(B67/B66)*(B65/B64)*(B63/B62)*(B61/B60)*B59</f>
        <v>2500</v>
      </c>
      <c r="C68" s="506" t="s">
        <v>104</v>
      </c>
      <c r="D68" s="509">
        <v>878.67</v>
      </c>
      <c r="E68" s="182">
        <v>1</v>
      </c>
      <c r="F68" s="183">
        <v>23612933</v>
      </c>
      <c r="G68" s="248">
        <f>IF(ISBLANK(F68),"-",(F68/$D$50*$D$47*$B$68)*($B$57/$D$68))</f>
        <v>297.23373939698598</v>
      </c>
      <c r="H68" s="267">
        <f t="shared" si="0"/>
        <v>99.077913132328661</v>
      </c>
    </row>
    <row r="69" spans="1:8" ht="27" customHeight="1" x14ac:dyDescent="0.4">
      <c r="A69" s="172" t="s">
        <v>105</v>
      </c>
      <c r="B69" s="189">
        <f>(D47*B68)/B56*B57</f>
        <v>869.21750000000009</v>
      </c>
      <c r="C69" s="507"/>
      <c r="D69" s="510"/>
      <c r="E69" s="184">
        <v>2</v>
      </c>
      <c r="F69" s="137">
        <v>23630738</v>
      </c>
      <c r="G69" s="249">
        <f>IF(ISBLANK(F69),"-",(F69/$D$50*$D$47*$B$68)*($B$57/$D$68))</f>
        <v>297.45786431742533</v>
      </c>
      <c r="H69" s="267">
        <f t="shared" si="0"/>
        <v>99.152621439141768</v>
      </c>
    </row>
    <row r="70" spans="1:8" ht="26.25" customHeight="1" x14ac:dyDescent="0.4">
      <c r="A70" s="519" t="s">
        <v>78</v>
      </c>
      <c r="B70" s="520"/>
      <c r="C70" s="507"/>
      <c r="D70" s="510"/>
      <c r="E70" s="184">
        <v>3</v>
      </c>
      <c r="F70" s="137">
        <v>23540450</v>
      </c>
      <c r="G70" s="249">
        <f>IF(ISBLANK(F70),"-",(F70/$D$50*$D$47*$B$68)*($B$57/$D$68))</f>
        <v>296.321341384731</v>
      </c>
      <c r="H70" s="267">
        <f t="shared" si="0"/>
        <v>98.773780461577005</v>
      </c>
    </row>
    <row r="71" spans="1:8" ht="27" customHeight="1" x14ac:dyDescent="0.4">
      <c r="A71" s="521"/>
      <c r="B71" s="522"/>
      <c r="C71" s="518"/>
      <c r="D71" s="511"/>
      <c r="E71" s="186">
        <v>4</v>
      </c>
      <c r="F71" s="187"/>
      <c r="G71" s="265" t="str">
        <f>IF(ISBLANK(F71),"-",(F71/$D$50*$D$47*$B$68)*($B$57/$D$68))</f>
        <v>-</v>
      </c>
      <c r="H71" s="268" t="str">
        <f t="shared" si="0"/>
        <v>-</v>
      </c>
    </row>
    <row r="72" spans="1:8" ht="26.25" customHeight="1" x14ac:dyDescent="0.4">
      <c r="A72" s="190"/>
      <c r="B72" s="190"/>
      <c r="C72" s="190"/>
      <c r="D72" s="190"/>
      <c r="E72" s="190"/>
      <c r="F72" s="192" t="s">
        <v>71</v>
      </c>
      <c r="G72" s="254">
        <f>AVERAGE(G60:G71)</f>
        <v>293.96894546910943</v>
      </c>
      <c r="H72" s="269">
        <f>AVERAGE(H60:H71)</f>
        <v>97.989648489703129</v>
      </c>
    </row>
    <row r="73" spans="1:8" ht="26.25" customHeight="1" x14ac:dyDescent="0.4">
      <c r="C73" s="190"/>
      <c r="D73" s="190"/>
      <c r="E73" s="190"/>
      <c r="F73" s="193" t="s">
        <v>84</v>
      </c>
      <c r="G73" s="253">
        <f>STDEV(G60:G71)/G72</f>
        <v>1.1507315576402295E-2</v>
      </c>
      <c r="H73" s="253">
        <f>STDEV(H60:H71)/H72</f>
        <v>1.1507315576402282E-2</v>
      </c>
    </row>
    <row r="74" spans="1:8" ht="27" customHeight="1" x14ac:dyDescent="0.4">
      <c r="A74" s="190"/>
      <c r="B74" s="190"/>
      <c r="C74" s="191"/>
      <c r="D74" s="191"/>
      <c r="E74" s="194"/>
      <c r="F74" s="195" t="s">
        <v>20</v>
      </c>
      <c r="G74" s="196">
        <f>COUNT(G60:G71)</f>
        <v>6</v>
      </c>
      <c r="H74" s="196">
        <f>COUNT(H60:H71)</f>
        <v>6</v>
      </c>
    </row>
    <row r="76" spans="1:8" ht="26.25" customHeight="1" x14ac:dyDescent="0.4">
      <c r="A76" s="108" t="s">
        <v>106</v>
      </c>
      <c r="B76" s="197" t="s">
        <v>107</v>
      </c>
      <c r="C76" s="514" t="str">
        <f>B26</f>
        <v>Lamivudine</v>
      </c>
      <c r="D76" s="514"/>
      <c r="E76" s="198" t="s">
        <v>108</v>
      </c>
      <c r="F76" s="198"/>
      <c r="G76" s="199">
        <f>H72</f>
        <v>97.989648489703129</v>
      </c>
      <c r="H76" s="200"/>
    </row>
    <row r="77" spans="1:8" ht="18.75" x14ac:dyDescent="0.3">
      <c r="A77" s="107" t="s">
        <v>109</v>
      </c>
      <c r="B77" s="107" t="s">
        <v>110</v>
      </c>
    </row>
    <row r="78" spans="1:8" ht="18.75" x14ac:dyDescent="0.3">
      <c r="A78" s="107"/>
      <c r="B78" s="107"/>
    </row>
    <row r="79" spans="1:8" ht="26.25" customHeight="1" x14ac:dyDescent="0.4">
      <c r="A79" s="108" t="s">
        <v>4</v>
      </c>
      <c r="B79" s="500" t="str">
        <f>B26</f>
        <v>Lamivudine</v>
      </c>
      <c r="C79" s="500"/>
    </row>
    <row r="80" spans="1:8" ht="26.25" customHeight="1" x14ac:dyDescent="0.4">
      <c r="A80" s="109" t="s">
        <v>48</v>
      </c>
      <c r="B80" s="500" t="str">
        <f>B27</f>
        <v>L42</v>
      </c>
      <c r="C80" s="500"/>
    </row>
    <row r="81" spans="1:12" ht="27" customHeight="1" x14ac:dyDescent="0.4">
      <c r="A81" s="109" t="s">
        <v>6</v>
      </c>
      <c r="B81" s="201">
        <f>B28</f>
        <v>99.8</v>
      </c>
    </row>
    <row r="82" spans="1:12" s="14" customFormat="1" ht="27" customHeight="1" x14ac:dyDescent="0.4">
      <c r="A82" s="109" t="s">
        <v>49</v>
      </c>
      <c r="B82" s="111">
        <v>0</v>
      </c>
      <c r="C82" s="491" t="s">
        <v>50</v>
      </c>
      <c r="D82" s="492"/>
      <c r="E82" s="492"/>
      <c r="F82" s="492"/>
      <c r="G82" s="493"/>
      <c r="I82" s="112"/>
      <c r="J82" s="112"/>
      <c r="K82" s="112"/>
      <c r="L82" s="112"/>
    </row>
    <row r="83" spans="1:12" s="14" customFormat="1" ht="19.5" customHeight="1" x14ac:dyDescent="0.3">
      <c r="A83" s="109" t="s">
        <v>51</v>
      </c>
      <c r="B83" s="113">
        <f>B81-B82</f>
        <v>99.8</v>
      </c>
      <c r="C83" s="114"/>
      <c r="D83" s="114"/>
      <c r="E83" s="114"/>
      <c r="F83" s="114"/>
      <c r="G83" s="115"/>
      <c r="I83" s="112"/>
      <c r="J83" s="112"/>
      <c r="K83" s="112"/>
      <c r="L83" s="112"/>
    </row>
    <row r="84" spans="1:12" s="14" customFormat="1" ht="27" customHeight="1" x14ac:dyDescent="0.4">
      <c r="A84" s="109" t="s">
        <v>52</v>
      </c>
      <c r="B84" s="116">
        <v>1</v>
      </c>
      <c r="C84" s="494" t="s">
        <v>111</v>
      </c>
      <c r="D84" s="495"/>
      <c r="E84" s="495"/>
      <c r="F84" s="495"/>
      <c r="G84" s="495"/>
      <c r="H84" s="496"/>
      <c r="I84" s="112"/>
      <c r="J84" s="112"/>
      <c r="K84" s="112"/>
      <c r="L84" s="112"/>
    </row>
    <row r="85" spans="1:12" s="14" customFormat="1" ht="27" customHeight="1" x14ac:dyDescent="0.4">
      <c r="A85" s="109" t="s">
        <v>54</v>
      </c>
      <c r="B85" s="116">
        <v>1</v>
      </c>
      <c r="C85" s="494" t="s">
        <v>112</v>
      </c>
      <c r="D85" s="495"/>
      <c r="E85" s="495"/>
      <c r="F85" s="495"/>
      <c r="G85" s="495"/>
      <c r="H85" s="496"/>
      <c r="I85" s="112"/>
      <c r="J85" s="112"/>
      <c r="K85" s="112"/>
      <c r="L85" s="112"/>
    </row>
    <row r="86" spans="1:12" s="14" customFormat="1" ht="18.75" x14ac:dyDescent="0.3">
      <c r="A86" s="109"/>
      <c r="B86" s="119"/>
      <c r="C86" s="120"/>
      <c r="D86" s="120"/>
      <c r="E86" s="120"/>
      <c r="F86" s="120"/>
      <c r="G86" s="120"/>
      <c r="H86" s="120"/>
      <c r="I86" s="112"/>
      <c r="J86" s="112"/>
      <c r="K86" s="112"/>
      <c r="L86" s="112"/>
    </row>
    <row r="87" spans="1:12" s="14" customFormat="1" ht="18.75" x14ac:dyDescent="0.3">
      <c r="A87" s="109" t="s">
        <v>56</v>
      </c>
      <c r="B87" s="121">
        <f>B84/B85</f>
        <v>1</v>
      </c>
      <c r="C87" s="99" t="s">
        <v>57</v>
      </c>
      <c r="D87" s="99"/>
      <c r="E87" s="99"/>
      <c r="F87" s="99"/>
      <c r="G87" s="99"/>
      <c r="I87" s="112"/>
      <c r="J87" s="112"/>
      <c r="K87" s="112"/>
      <c r="L87" s="112"/>
    </row>
    <row r="88" spans="1:12" ht="19.5" customHeight="1" x14ac:dyDescent="0.3">
      <c r="A88" s="107"/>
      <c r="B88" s="107"/>
    </row>
    <row r="89" spans="1:12" ht="27" customHeight="1" x14ac:dyDescent="0.4">
      <c r="A89" s="122" t="s">
        <v>58</v>
      </c>
      <c r="B89" s="123">
        <v>50</v>
      </c>
      <c r="D89" s="202" t="s">
        <v>59</v>
      </c>
      <c r="E89" s="203"/>
      <c r="F89" s="497" t="s">
        <v>60</v>
      </c>
      <c r="G89" s="499"/>
    </row>
    <row r="90" spans="1:12" ht="27" customHeight="1" x14ac:dyDescent="0.4">
      <c r="A90" s="124" t="s">
        <v>61</v>
      </c>
      <c r="B90" s="125">
        <v>1</v>
      </c>
      <c r="C90" s="204" t="s">
        <v>62</v>
      </c>
      <c r="D90" s="127" t="s">
        <v>63</v>
      </c>
      <c r="E90" s="128" t="s">
        <v>64</v>
      </c>
      <c r="F90" s="127" t="s">
        <v>63</v>
      </c>
      <c r="G90" s="205" t="s">
        <v>64</v>
      </c>
      <c r="I90" s="130" t="s">
        <v>65</v>
      </c>
    </row>
    <row r="91" spans="1:12" ht="26.25" customHeight="1" x14ac:dyDescent="0.4">
      <c r="A91" s="124" t="s">
        <v>66</v>
      </c>
      <c r="B91" s="125">
        <v>1</v>
      </c>
      <c r="C91" s="206">
        <v>1</v>
      </c>
      <c r="D91" s="132">
        <v>65343968</v>
      </c>
      <c r="E91" s="133">
        <f>IF(ISBLANK(D91),"-",$D$101/$D$98*D91)</f>
        <v>57942405.164310925</v>
      </c>
      <c r="F91" s="132">
        <v>65365661</v>
      </c>
      <c r="G91" s="134">
        <f>IF(ISBLANK(F91),"-",$D$101/$F$98*F91)</f>
        <v>58271044.758556262</v>
      </c>
      <c r="I91" s="135"/>
    </row>
    <row r="92" spans="1:12" ht="26.25" customHeight="1" x14ac:dyDescent="0.4">
      <c r="A92" s="124" t="s">
        <v>67</v>
      </c>
      <c r="B92" s="125">
        <v>1</v>
      </c>
      <c r="C92" s="191">
        <v>2</v>
      </c>
      <c r="D92" s="137">
        <v>65959798</v>
      </c>
      <c r="E92" s="138">
        <f>IF(ISBLANK(D92),"-",$D$101/$D$98*D92)</f>
        <v>58488479.614095449</v>
      </c>
      <c r="F92" s="137">
        <v>64727566</v>
      </c>
      <c r="G92" s="139">
        <f>IF(ISBLANK(F92),"-",$D$101/$F$98*F92)</f>
        <v>57702206.904913031</v>
      </c>
      <c r="I92" s="501">
        <f>ABS((F96/D96*D95)-F95)/D95</f>
        <v>4.7060840755851823E-3</v>
      </c>
    </row>
    <row r="93" spans="1:12" ht="26.25" customHeight="1" x14ac:dyDescent="0.4">
      <c r="A93" s="124" t="s">
        <v>68</v>
      </c>
      <c r="B93" s="125">
        <v>1</v>
      </c>
      <c r="C93" s="191">
        <v>3</v>
      </c>
      <c r="D93" s="137">
        <v>65438815</v>
      </c>
      <c r="E93" s="138">
        <f>IF(ISBLANK(D93),"-",$D$101/$D$98*D93)</f>
        <v>58026508.769751899</v>
      </c>
      <c r="F93" s="137">
        <v>64678816</v>
      </c>
      <c r="G93" s="139">
        <f>IF(ISBLANK(F93),"-",$D$101/$F$98*F93)</f>
        <v>57658748.101184577</v>
      </c>
      <c r="I93" s="501"/>
    </row>
    <row r="94" spans="1:12" ht="27" customHeight="1" x14ac:dyDescent="0.4">
      <c r="A94" s="124" t="s">
        <v>69</v>
      </c>
      <c r="B94" s="125">
        <v>1</v>
      </c>
      <c r="C94" s="207">
        <v>4</v>
      </c>
      <c r="D94" s="142"/>
      <c r="E94" s="143" t="str">
        <f>IF(ISBLANK(D94),"-",$D$101/$D$98*D94)</f>
        <v>-</v>
      </c>
      <c r="F94" s="208"/>
      <c r="G94" s="144" t="str">
        <f>IF(ISBLANK(F94),"-",$D$101/$F$98*F94)</f>
        <v>-</v>
      </c>
      <c r="I94" s="145"/>
    </row>
    <row r="95" spans="1:12" ht="27" customHeight="1" x14ac:dyDescent="0.4">
      <c r="A95" s="124" t="s">
        <v>70</v>
      </c>
      <c r="B95" s="125">
        <v>1</v>
      </c>
      <c r="C95" s="209" t="s">
        <v>71</v>
      </c>
      <c r="D95" s="210">
        <f>AVERAGE(D91:D94)</f>
        <v>65580860.333333336</v>
      </c>
      <c r="E95" s="148">
        <f>AVERAGE(E91:E94)</f>
        <v>58152464.51605276</v>
      </c>
      <c r="F95" s="211">
        <f>AVERAGE(F91:F94)</f>
        <v>64924014.333333336</v>
      </c>
      <c r="G95" s="212">
        <f>AVERAGE(G91:G94)</f>
        <v>57877333.254884623</v>
      </c>
    </row>
    <row r="96" spans="1:12" ht="26.25" customHeight="1" x14ac:dyDescent="0.4">
      <c r="A96" s="124" t="s">
        <v>72</v>
      </c>
      <c r="B96" s="110">
        <v>1</v>
      </c>
      <c r="C96" s="213" t="s">
        <v>113</v>
      </c>
      <c r="D96" s="214">
        <v>16.95</v>
      </c>
      <c r="E96" s="140"/>
      <c r="F96" s="152">
        <v>16.86</v>
      </c>
    </row>
    <row r="97" spans="1:10" ht="26.25" customHeight="1" x14ac:dyDescent="0.4">
      <c r="A97" s="124" t="s">
        <v>74</v>
      </c>
      <c r="B97" s="110">
        <v>1</v>
      </c>
      <c r="C97" s="215" t="s">
        <v>114</v>
      </c>
      <c r="D97" s="216">
        <f>D96*$B$87</f>
        <v>16.95</v>
      </c>
      <c r="E97" s="155"/>
      <c r="F97" s="154">
        <f>F96*$B$87</f>
        <v>16.86</v>
      </c>
    </row>
    <row r="98" spans="1:10" ht="19.5" customHeight="1" x14ac:dyDescent="0.3">
      <c r="A98" s="124" t="s">
        <v>76</v>
      </c>
      <c r="B98" s="217">
        <f>(B97/B96)*(B95/B94)*(B93/B92)*(B91/B90)*B89</f>
        <v>50</v>
      </c>
      <c r="C98" s="215" t="s">
        <v>115</v>
      </c>
      <c r="D98" s="218">
        <f>D97*$B$83/100</f>
        <v>16.9161</v>
      </c>
      <c r="E98" s="158"/>
      <c r="F98" s="157">
        <f>F97*$B$83/100</f>
        <v>16.826280000000001</v>
      </c>
    </row>
    <row r="99" spans="1:10" ht="19.5" customHeight="1" x14ac:dyDescent="0.3">
      <c r="A99" s="502" t="s">
        <v>78</v>
      </c>
      <c r="B99" s="516"/>
      <c r="C99" s="215" t="s">
        <v>116</v>
      </c>
      <c r="D99" s="219">
        <f>D98/$B$98</f>
        <v>0.33832200000000001</v>
      </c>
      <c r="E99" s="158"/>
      <c r="F99" s="161">
        <f>F98/$B$98</f>
        <v>0.33652560000000004</v>
      </c>
      <c r="G99" s="220"/>
      <c r="H99" s="150"/>
    </row>
    <row r="100" spans="1:10" ht="19.5" customHeight="1" x14ac:dyDescent="0.3">
      <c r="A100" s="504"/>
      <c r="B100" s="517"/>
      <c r="C100" s="215" t="s">
        <v>80</v>
      </c>
      <c r="D100" s="221">
        <f>$B$56/$B$116</f>
        <v>0.3</v>
      </c>
      <c r="F100" s="166"/>
      <c r="G100" s="222"/>
      <c r="H100" s="150"/>
    </row>
    <row r="101" spans="1:10" ht="18.75" x14ac:dyDescent="0.3">
      <c r="C101" s="215" t="s">
        <v>81</v>
      </c>
      <c r="D101" s="216">
        <f>D100*$B$98</f>
        <v>15</v>
      </c>
      <c r="F101" s="166"/>
      <c r="G101" s="220"/>
      <c r="H101" s="150"/>
    </row>
    <row r="102" spans="1:10" ht="19.5" customHeight="1" x14ac:dyDescent="0.3">
      <c r="C102" s="223" t="s">
        <v>82</v>
      </c>
      <c r="D102" s="224">
        <f>D101/B34</f>
        <v>15</v>
      </c>
      <c r="F102" s="170"/>
      <c r="G102" s="220"/>
      <c r="H102" s="150"/>
      <c r="J102" s="225"/>
    </row>
    <row r="103" spans="1:10" ht="18.75" x14ac:dyDescent="0.3">
      <c r="C103" s="226" t="s">
        <v>117</v>
      </c>
      <c r="D103" s="227">
        <f>AVERAGE(E91:E94,G91:G94)</f>
        <v>58014898.885468684</v>
      </c>
      <c r="F103" s="170"/>
      <c r="G103" s="228"/>
      <c r="H103" s="150"/>
      <c r="J103" s="229"/>
    </row>
    <row r="104" spans="1:10" ht="18.75" x14ac:dyDescent="0.3">
      <c r="C104" s="193" t="s">
        <v>84</v>
      </c>
      <c r="D104" s="230">
        <f>STDEV(E91:E94,G91:G94)/D103</f>
        <v>5.5582110417273694E-3</v>
      </c>
      <c r="F104" s="170"/>
      <c r="G104" s="220"/>
      <c r="H104" s="150"/>
      <c r="J104" s="229"/>
    </row>
    <row r="105" spans="1:10" ht="19.5" customHeight="1" x14ac:dyDescent="0.3">
      <c r="C105" s="195" t="s">
        <v>20</v>
      </c>
      <c r="D105" s="231">
        <f>COUNT(E91:E94,G91:G94)</f>
        <v>6</v>
      </c>
      <c r="F105" s="170"/>
      <c r="G105" s="220"/>
      <c r="H105" s="150"/>
      <c r="J105" s="229"/>
    </row>
    <row r="106" spans="1:10" ht="19.5" customHeight="1" x14ac:dyDescent="0.3">
      <c r="A106" s="174"/>
      <c r="B106" s="174"/>
      <c r="C106" s="174"/>
      <c r="D106" s="174"/>
      <c r="E106" s="174"/>
    </row>
    <row r="107" spans="1:10" ht="27" customHeight="1" x14ac:dyDescent="0.4">
      <c r="A107" s="122" t="s">
        <v>118</v>
      </c>
      <c r="B107" s="123">
        <v>1000</v>
      </c>
      <c r="C107" s="270" t="s">
        <v>119</v>
      </c>
      <c r="D107" s="270" t="s">
        <v>63</v>
      </c>
      <c r="E107" s="270" t="s">
        <v>120</v>
      </c>
      <c r="F107" s="232" t="s">
        <v>121</v>
      </c>
    </row>
    <row r="108" spans="1:10" ht="26.25" customHeight="1" x14ac:dyDescent="0.4">
      <c r="A108" s="124" t="s">
        <v>122</v>
      </c>
      <c r="B108" s="125">
        <v>1</v>
      </c>
      <c r="C108" s="275">
        <v>1</v>
      </c>
      <c r="D108" s="276">
        <v>55322805</v>
      </c>
      <c r="E108" s="250">
        <f t="shared" ref="E108:E113" si="1">IF(ISBLANK(D108),"-",D108/$D$103*$D$100*$B$116)</f>
        <v>286.07895245607506</v>
      </c>
      <c r="F108" s="277">
        <f t="shared" ref="F108:F113" si="2">IF(ISBLANK(D108), "-", (E108/$B$56)*100)</f>
        <v>95.359650818691691</v>
      </c>
    </row>
    <row r="109" spans="1:10" ht="26.25" customHeight="1" x14ac:dyDescent="0.4">
      <c r="A109" s="124" t="s">
        <v>95</v>
      </c>
      <c r="B109" s="125">
        <v>1</v>
      </c>
      <c r="C109" s="271">
        <v>2</v>
      </c>
      <c r="D109" s="273">
        <v>56269944</v>
      </c>
      <c r="E109" s="251">
        <f t="shared" si="1"/>
        <v>290.97668916610439</v>
      </c>
      <c r="F109" s="278">
        <f t="shared" si="2"/>
        <v>96.992229722034793</v>
      </c>
    </row>
    <row r="110" spans="1:10" ht="26.25" customHeight="1" x14ac:dyDescent="0.4">
      <c r="A110" s="124" t="s">
        <v>96</v>
      </c>
      <c r="B110" s="125">
        <v>1</v>
      </c>
      <c r="C110" s="271">
        <v>3</v>
      </c>
      <c r="D110" s="273">
        <v>57893654</v>
      </c>
      <c r="E110" s="251">
        <f t="shared" si="1"/>
        <v>299.37303233584169</v>
      </c>
      <c r="F110" s="278">
        <f t="shared" si="2"/>
        <v>99.791010778613895</v>
      </c>
    </row>
    <row r="111" spans="1:10" ht="26.25" customHeight="1" x14ac:dyDescent="0.4">
      <c r="A111" s="124" t="s">
        <v>97</v>
      </c>
      <c r="B111" s="125">
        <v>1</v>
      </c>
      <c r="C111" s="271">
        <v>4</v>
      </c>
      <c r="D111" s="273">
        <v>58229359</v>
      </c>
      <c r="E111" s="251">
        <f t="shared" si="1"/>
        <v>301.10899157967003</v>
      </c>
      <c r="F111" s="278">
        <f t="shared" si="2"/>
        <v>100.36966385989001</v>
      </c>
    </row>
    <row r="112" spans="1:10" ht="26.25" customHeight="1" x14ac:dyDescent="0.4">
      <c r="A112" s="124" t="s">
        <v>98</v>
      </c>
      <c r="B112" s="125">
        <v>1</v>
      </c>
      <c r="C112" s="271">
        <v>5</v>
      </c>
      <c r="D112" s="273">
        <v>58330185</v>
      </c>
      <c r="E112" s="251">
        <f t="shared" si="1"/>
        <v>301.63037144210352</v>
      </c>
      <c r="F112" s="278">
        <f t="shared" si="2"/>
        <v>100.54345714736783</v>
      </c>
    </row>
    <row r="113" spans="1:10" ht="27" customHeight="1" x14ac:dyDescent="0.4">
      <c r="A113" s="124" t="s">
        <v>100</v>
      </c>
      <c r="B113" s="125">
        <v>1</v>
      </c>
      <c r="C113" s="272">
        <v>6</v>
      </c>
      <c r="D113" s="274">
        <v>58439607</v>
      </c>
      <c r="E113" s="252">
        <f t="shared" si="1"/>
        <v>302.19620195513789</v>
      </c>
      <c r="F113" s="279">
        <f t="shared" si="2"/>
        <v>100.73206731837929</v>
      </c>
    </row>
    <row r="114" spans="1:10" ht="27" customHeight="1" x14ac:dyDescent="0.4">
      <c r="A114" s="124" t="s">
        <v>101</v>
      </c>
      <c r="B114" s="125">
        <v>1</v>
      </c>
      <c r="C114" s="233"/>
      <c r="D114" s="191"/>
      <c r="E114" s="98"/>
      <c r="F114" s="280"/>
    </row>
    <row r="115" spans="1:10" ht="26.25" customHeight="1" x14ac:dyDescent="0.4">
      <c r="A115" s="124" t="s">
        <v>102</v>
      </c>
      <c r="B115" s="125">
        <v>1</v>
      </c>
      <c r="C115" s="233"/>
      <c r="D115" s="257" t="s">
        <v>71</v>
      </c>
      <c r="E115" s="259">
        <f>AVERAGE(E108:E113)</f>
        <v>296.89403982248876</v>
      </c>
      <c r="F115" s="281">
        <f>AVERAGE(F108:F113)</f>
        <v>98.964679940829583</v>
      </c>
    </row>
    <row r="116" spans="1:10" ht="27" customHeight="1" x14ac:dyDescent="0.4">
      <c r="A116" s="124" t="s">
        <v>103</v>
      </c>
      <c r="B116" s="156">
        <f>(B115/B114)*(B113/B112)*(B111/B110)*(B109/B108)*B107</f>
        <v>1000</v>
      </c>
      <c r="C116" s="234"/>
      <c r="D116" s="258" t="s">
        <v>84</v>
      </c>
      <c r="E116" s="256">
        <f>STDEV(E108:E113)/E115</f>
        <v>2.2666700407458953E-2</v>
      </c>
      <c r="F116" s="235">
        <f>STDEV(F108:F113)/F115</f>
        <v>2.2666700407458929E-2</v>
      </c>
      <c r="I116" s="98"/>
    </row>
    <row r="117" spans="1:10" ht="27" customHeight="1" x14ac:dyDescent="0.4">
      <c r="A117" s="502" t="s">
        <v>78</v>
      </c>
      <c r="B117" s="503"/>
      <c r="C117" s="236"/>
      <c r="D117" s="195" t="s">
        <v>20</v>
      </c>
      <c r="E117" s="261">
        <f>COUNT(E108:E113)</f>
        <v>6</v>
      </c>
      <c r="F117" s="262">
        <f>COUNT(F108:F113)</f>
        <v>6</v>
      </c>
      <c r="I117" s="98"/>
      <c r="J117" s="229"/>
    </row>
    <row r="118" spans="1:10" ht="26.25" customHeight="1" x14ac:dyDescent="0.3">
      <c r="A118" s="504"/>
      <c r="B118" s="505"/>
      <c r="C118" s="98"/>
      <c r="D118" s="260"/>
      <c r="E118" s="482" t="s">
        <v>123</v>
      </c>
      <c r="F118" s="483"/>
      <c r="G118" s="98"/>
      <c r="H118" s="98"/>
      <c r="I118" s="98"/>
    </row>
    <row r="119" spans="1:10" ht="25.5" customHeight="1" x14ac:dyDescent="0.4">
      <c r="A119" s="245"/>
      <c r="B119" s="120"/>
      <c r="C119" s="98"/>
      <c r="D119" s="258" t="s">
        <v>124</v>
      </c>
      <c r="E119" s="263">
        <f>MIN(E108:E113)</f>
        <v>286.07895245607506</v>
      </c>
      <c r="F119" s="282">
        <f>MIN(F108:F113)</f>
        <v>95.359650818691691</v>
      </c>
      <c r="G119" s="98"/>
      <c r="H119" s="98"/>
      <c r="I119" s="98"/>
    </row>
    <row r="120" spans="1:10" ht="24" customHeight="1" x14ac:dyDescent="0.4">
      <c r="A120" s="245"/>
      <c r="B120" s="120"/>
      <c r="C120" s="98"/>
      <c r="D120" s="167" t="s">
        <v>125</v>
      </c>
      <c r="E120" s="264">
        <f>MAX(E108:E113)</f>
        <v>302.19620195513789</v>
      </c>
      <c r="F120" s="283">
        <f>MAX(F108:F113)</f>
        <v>100.73206731837929</v>
      </c>
      <c r="G120" s="98"/>
      <c r="H120" s="98"/>
      <c r="I120" s="98"/>
    </row>
    <row r="121" spans="1:10" ht="27" customHeight="1" x14ac:dyDescent="0.3">
      <c r="A121" s="245"/>
      <c r="B121" s="120"/>
      <c r="C121" s="98"/>
      <c r="D121" s="98"/>
      <c r="E121" s="98"/>
      <c r="F121" s="191"/>
      <c r="G121" s="98"/>
      <c r="H121" s="98"/>
      <c r="I121" s="98"/>
    </row>
    <row r="122" spans="1:10" ht="25.5" customHeight="1" x14ac:dyDescent="0.3">
      <c r="A122" s="245"/>
      <c r="B122" s="120"/>
      <c r="C122" s="98"/>
      <c r="D122" s="98"/>
      <c r="E122" s="98"/>
      <c r="F122" s="191"/>
      <c r="G122" s="98"/>
      <c r="H122" s="98"/>
      <c r="I122" s="98"/>
    </row>
    <row r="123" spans="1:10" ht="18.75" x14ac:dyDescent="0.3">
      <c r="A123" s="245"/>
      <c r="B123" s="120"/>
      <c r="C123" s="98"/>
      <c r="D123" s="98"/>
      <c r="E123" s="98"/>
      <c r="F123" s="191"/>
      <c r="G123" s="98"/>
      <c r="H123" s="98"/>
      <c r="I123" s="98"/>
    </row>
    <row r="124" spans="1:10" ht="45.75" customHeight="1" x14ac:dyDescent="0.65">
      <c r="A124" s="108" t="s">
        <v>106</v>
      </c>
      <c r="B124" s="197" t="s">
        <v>126</v>
      </c>
      <c r="C124" s="514" t="str">
        <f>B26</f>
        <v>Lamivudine</v>
      </c>
      <c r="D124" s="514"/>
      <c r="E124" s="198" t="s">
        <v>127</v>
      </c>
      <c r="F124" s="198"/>
      <c r="G124" s="284">
        <f>F115</f>
        <v>98.964679940829583</v>
      </c>
      <c r="H124" s="98"/>
      <c r="I124" s="98"/>
    </row>
    <row r="125" spans="1:10" ht="45.75" customHeight="1" x14ac:dyDescent="0.65">
      <c r="A125" s="108"/>
      <c r="B125" s="197" t="s">
        <v>128</v>
      </c>
      <c r="C125" s="109" t="s">
        <v>129</v>
      </c>
      <c r="D125" s="284">
        <f>MIN(F108:F113)</f>
        <v>95.359650818691691</v>
      </c>
      <c r="E125" s="209" t="s">
        <v>130</v>
      </c>
      <c r="F125" s="284">
        <f>MAX(F108:F113)</f>
        <v>100.73206731837929</v>
      </c>
      <c r="G125" s="199"/>
      <c r="H125" s="98"/>
      <c r="I125" s="98"/>
    </row>
    <row r="126" spans="1:10" ht="19.5" customHeight="1" x14ac:dyDescent="0.3">
      <c r="A126" s="237"/>
      <c r="B126" s="237"/>
      <c r="C126" s="238"/>
      <c r="D126" s="238"/>
      <c r="E126" s="238"/>
      <c r="F126" s="238"/>
      <c r="G126" s="238"/>
      <c r="H126" s="238"/>
    </row>
    <row r="127" spans="1:10" ht="18.75" x14ac:dyDescent="0.3">
      <c r="B127" s="515" t="s">
        <v>26</v>
      </c>
      <c r="C127" s="515"/>
      <c r="E127" s="204" t="s">
        <v>27</v>
      </c>
      <c r="F127" s="239"/>
      <c r="G127" s="515" t="s">
        <v>28</v>
      </c>
      <c r="H127" s="515"/>
    </row>
    <row r="128" spans="1:10" ht="69.95" customHeight="1" x14ac:dyDescent="0.3">
      <c r="A128" s="240" t="s">
        <v>29</v>
      </c>
      <c r="B128" s="241"/>
      <c r="C128" s="241"/>
      <c r="E128" s="241"/>
      <c r="F128" s="98"/>
      <c r="G128" s="242"/>
      <c r="H128" s="242"/>
    </row>
    <row r="129" spans="1:9" ht="69.95" customHeight="1" x14ac:dyDescent="0.3">
      <c r="A129" s="240" t="s">
        <v>30</v>
      </c>
      <c r="B129" s="243"/>
      <c r="C129" s="243"/>
      <c r="E129" s="243"/>
      <c r="F129" s="98"/>
      <c r="G129" s="244"/>
      <c r="H129" s="244"/>
    </row>
    <row r="130" spans="1:9" ht="18.75" x14ac:dyDescent="0.3">
      <c r="A130" s="190"/>
      <c r="B130" s="190"/>
      <c r="C130" s="191"/>
      <c r="D130" s="191"/>
      <c r="E130" s="191"/>
      <c r="F130" s="194"/>
      <c r="G130" s="191"/>
      <c r="H130" s="191"/>
      <c r="I130" s="98"/>
    </row>
    <row r="131" spans="1:9" ht="18.75" x14ac:dyDescent="0.3">
      <c r="A131" s="190"/>
      <c r="B131" s="190"/>
      <c r="C131" s="191"/>
      <c r="D131" s="191"/>
      <c r="E131" s="191"/>
      <c r="F131" s="194"/>
      <c r="G131" s="191"/>
      <c r="H131" s="191"/>
      <c r="I131" s="98"/>
    </row>
    <row r="132" spans="1:9" ht="18.75" x14ac:dyDescent="0.3">
      <c r="A132" s="190"/>
      <c r="B132" s="190"/>
      <c r="C132" s="191"/>
      <c r="D132" s="191"/>
      <c r="E132" s="191"/>
      <c r="F132" s="194"/>
      <c r="G132" s="191"/>
      <c r="H132" s="191"/>
      <c r="I132" s="98"/>
    </row>
    <row r="133" spans="1:9" ht="18.75" x14ac:dyDescent="0.3">
      <c r="A133" s="190"/>
      <c r="B133" s="190"/>
      <c r="C133" s="191"/>
      <c r="D133" s="191"/>
      <c r="E133" s="191"/>
      <c r="F133" s="194"/>
      <c r="G133" s="191"/>
      <c r="H133" s="191"/>
      <c r="I133" s="98"/>
    </row>
    <row r="134" spans="1:9" ht="18.75" x14ac:dyDescent="0.3">
      <c r="A134" s="190"/>
      <c r="B134" s="190"/>
      <c r="C134" s="191"/>
      <c r="D134" s="191"/>
      <c r="E134" s="191"/>
      <c r="F134" s="194"/>
      <c r="G134" s="191"/>
      <c r="H134" s="191"/>
      <c r="I134" s="98"/>
    </row>
    <row r="135" spans="1:9" ht="18.75" x14ac:dyDescent="0.3">
      <c r="A135" s="190"/>
      <c r="B135" s="190"/>
      <c r="C135" s="191"/>
      <c r="D135" s="191"/>
      <c r="E135" s="191"/>
      <c r="F135" s="194"/>
      <c r="G135" s="191"/>
      <c r="H135" s="191"/>
      <c r="I135" s="98"/>
    </row>
    <row r="136" spans="1:9" ht="18.75" x14ac:dyDescent="0.3">
      <c r="A136" s="190"/>
      <c r="B136" s="190"/>
      <c r="C136" s="191"/>
      <c r="D136" s="191"/>
      <c r="E136" s="191"/>
      <c r="F136" s="194"/>
      <c r="G136" s="191"/>
      <c r="H136" s="191"/>
      <c r="I136" s="98"/>
    </row>
    <row r="137" spans="1:9" ht="18.75" x14ac:dyDescent="0.3">
      <c r="A137" s="190"/>
      <c r="B137" s="190"/>
      <c r="C137" s="191"/>
      <c r="D137" s="191"/>
      <c r="E137" s="191"/>
      <c r="F137" s="194"/>
      <c r="G137" s="191"/>
      <c r="H137" s="191"/>
      <c r="I137" s="98"/>
    </row>
    <row r="138" spans="1:9" ht="18.75" x14ac:dyDescent="0.3">
      <c r="A138" s="190"/>
      <c r="B138" s="190"/>
      <c r="C138" s="191"/>
      <c r="D138" s="191"/>
      <c r="E138" s="191"/>
      <c r="F138" s="194"/>
      <c r="G138" s="191"/>
      <c r="H138" s="191"/>
      <c r="I138" s="98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I39:I40"/>
    <mergeCell ref="A46:B47"/>
    <mergeCell ref="C60:C63"/>
    <mergeCell ref="D60:D63"/>
    <mergeCell ref="C64:C67"/>
    <mergeCell ref="D64:D67"/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G73">
    <cfRule type="cellIs" dxfId="15" priority="3" operator="greaterThan">
      <formula>0.02</formula>
    </cfRule>
  </conditionalFormatting>
  <conditionalFormatting sqref="H73">
    <cfRule type="cellIs" dxfId="14" priority="4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Layout" topLeftCell="A74" zoomScale="41" zoomScaleNormal="40" zoomScalePageLayoutView="41" workbookViewId="0">
      <selection activeCell="F91" sqref="F91:F93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512" t="s">
        <v>45</v>
      </c>
      <c r="B1" s="512"/>
      <c r="C1" s="512"/>
      <c r="D1" s="512"/>
      <c r="E1" s="512"/>
      <c r="F1" s="512"/>
      <c r="G1" s="512"/>
      <c r="H1" s="512"/>
      <c r="I1" s="512"/>
    </row>
    <row r="2" spans="1:9" ht="18.75" customHeight="1" x14ac:dyDescent="0.25">
      <c r="A2" s="512"/>
      <c r="B2" s="512"/>
      <c r="C2" s="512"/>
      <c r="D2" s="512"/>
      <c r="E2" s="512"/>
      <c r="F2" s="512"/>
      <c r="G2" s="512"/>
      <c r="H2" s="512"/>
      <c r="I2" s="512"/>
    </row>
    <row r="3" spans="1:9" ht="18.75" customHeight="1" x14ac:dyDescent="0.25">
      <c r="A3" s="512"/>
      <c r="B3" s="512"/>
      <c r="C3" s="512"/>
      <c r="D3" s="512"/>
      <c r="E3" s="512"/>
      <c r="F3" s="512"/>
      <c r="G3" s="512"/>
      <c r="H3" s="512"/>
      <c r="I3" s="512"/>
    </row>
    <row r="4" spans="1:9" ht="18.75" customHeight="1" x14ac:dyDescent="0.25">
      <c r="A4" s="512"/>
      <c r="B4" s="512"/>
      <c r="C4" s="512"/>
      <c r="D4" s="512"/>
      <c r="E4" s="512"/>
      <c r="F4" s="512"/>
      <c r="G4" s="512"/>
      <c r="H4" s="512"/>
      <c r="I4" s="512"/>
    </row>
    <row r="5" spans="1:9" ht="18.75" customHeight="1" x14ac:dyDescent="0.25">
      <c r="A5" s="512"/>
      <c r="B5" s="512"/>
      <c r="C5" s="512"/>
      <c r="D5" s="512"/>
      <c r="E5" s="512"/>
      <c r="F5" s="512"/>
      <c r="G5" s="512"/>
      <c r="H5" s="512"/>
      <c r="I5" s="512"/>
    </row>
    <row r="6" spans="1:9" ht="18.75" customHeight="1" x14ac:dyDescent="0.25">
      <c r="A6" s="512"/>
      <c r="B6" s="512"/>
      <c r="C6" s="512"/>
      <c r="D6" s="512"/>
      <c r="E6" s="512"/>
      <c r="F6" s="512"/>
      <c r="G6" s="512"/>
      <c r="H6" s="512"/>
      <c r="I6" s="512"/>
    </row>
    <row r="7" spans="1:9" ht="18.75" customHeight="1" x14ac:dyDescent="0.25">
      <c r="A7" s="512"/>
      <c r="B7" s="512"/>
      <c r="C7" s="512"/>
      <c r="D7" s="512"/>
      <c r="E7" s="512"/>
      <c r="F7" s="512"/>
      <c r="G7" s="512"/>
      <c r="H7" s="512"/>
      <c r="I7" s="512"/>
    </row>
    <row r="8" spans="1:9" x14ac:dyDescent="0.25">
      <c r="A8" s="513" t="s">
        <v>46</v>
      </c>
      <c r="B8" s="513"/>
      <c r="C8" s="513"/>
      <c r="D8" s="513"/>
      <c r="E8" s="513"/>
      <c r="F8" s="513"/>
      <c r="G8" s="513"/>
      <c r="H8" s="513"/>
      <c r="I8" s="513"/>
    </row>
    <row r="9" spans="1:9" x14ac:dyDescent="0.25">
      <c r="A9" s="513"/>
      <c r="B9" s="513"/>
      <c r="C9" s="513"/>
      <c r="D9" s="513"/>
      <c r="E9" s="513"/>
      <c r="F9" s="513"/>
      <c r="G9" s="513"/>
      <c r="H9" s="513"/>
      <c r="I9" s="513"/>
    </row>
    <row r="10" spans="1:9" x14ac:dyDescent="0.25">
      <c r="A10" s="513"/>
      <c r="B10" s="513"/>
      <c r="C10" s="513"/>
      <c r="D10" s="513"/>
      <c r="E10" s="513"/>
      <c r="F10" s="513"/>
      <c r="G10" s="513"/>
      <c r="H10" s="513"/>
      <c r="I10" s="513"/>
    </row>
    <row r="11" spans="1:9" x14ac:dyDescent="0.25">
      <c r="A11" s="513"/>
      <c r="B11" s="513"/>
      <c r="C11" s="513"/>
      <c r="D11" s="513"/>
      <c r="E11" s="513"/>
      <c r="F11" s="513"/>
      <c r="G11" s="513"/>
      <c r="H11" s="513"/>
      <c r="I11" s="513"/>
    </row>
    <row r="12" spans="1:9" x14ac:dyDescent="0.25">
      <c r="A12" s="513"/>
      <c r="B12" s="513"/>
      <c r="C12" s="513"/>
      <c r="D12" s="513"/>
      <c r="E12" s="513"/>
      <c r="F12" s="513"/>
      <c r="G12" s="513"/>
      <c r="H12" s="513"/>
      <c r="I12" s="513"/>
    </row>
    <row r="13" spans="1:9" x14ac:dyDescent="0.25">
      <c r="A13" s="513"/>
      <c r="B13" s="513"/>
      <c r="C13" s="513"/>
      <c r="D13" s="513"/>
      <c r="E13" s="513"/>
      <c r="F13" s="513"/>
      <c r="G13" s="513"/>
      <c r="H13" s="513"/>
      <c r="I13" s="513"/>
    </row>
    <row r="14" spans="1:9" x14ac:dyDescent="0.25">
      <c r="A14" s="513"/>
      <c r="B14" s="513"/>
      <c r="C14" s="513"/>
      <c r="D14" s="513"/>
      <c r="E14" s="513"/>
      <c r="F14" s="513"/>
      <c r="G14" s="513"/>
      <c r="H14" s="513"/>
      <c r="I14" s="513"/>
    </row>
    <row r="15" spans="1:9" ht="19.5" customHeight="1" x14ac:dyDescent="0.3">
      <c r="A15" s="285"/>
    </row>
    <row r="16" spans="1:9" ht="19.5" customHeight="1" x14ac:dyDescent="0.3">
      <c r="A16" s="485" t="s">
        <v>31</v>
      </c>
      <c r="B16" s="486"/>
      <c r="C16" s="486"/>
      <c r="D16" s="486"/>
      <c r="E16" s="486"/>
      <c r="F16" s="486"/>
      <c r="G16" s="486"/>
      <c r="H16" s="487"/>
    </row>
    <row r="17" spans="1:14" ht="20.25" customHeight="1" x14ac:dyDescent="0.25">
      <c r="A17" s="488" t="s">
        <v>47</v>
      </c>
      <c r="B17" s="488"/>
      <c r="C17" s="488"/>
      <c r="D17" s="488"/>
      <c r="E17" s="488"/>
      <c r="F17" s="488"/>
      <c r="G17" s="488"/>
      <c r="H17" s="488"/>
    </row>
    <row r="18" spans="1:14" ht="26.25" customHeight="1" x14ac:dyDescent="0.4">
      <c r="A18" s="287" t="s">
        <v>33</v>
      </c>
      <c r="B18" s="484" t="s">
        <v>5</v>
      </c>
      <c r="C18" s="484"/>
      <c r="D18" s="433"/>
      <c r="E18" s="288"/>
      <c r="F18" s="289"/>
      <c r="G18" s="289"/>
      <c r="H18" s="289"/>
    </row>
    <row r="19" spans="1:14" ht="26.25" customHeight="1" x14ac:dyDescent="0.4">
      <c r="A19" s="287" t="s">
        <v>34</v>
      </c>
      <c r="B19" s="290" t="s">
        <v>7</v>
      </c>
      <c r="C19" s="442">
        <v>1</v>
      </c>
      <c r="D19" s="289"/>
      <c r="E19" s="289"/>
      <c r="F19" s="289"/>
      <c r="G19" s="289"/>
      <c r="H19" s="289"/>
    </row>
    <row r="20" spans="1:14" ht="26.25" customHeight="1" x14ac:dyDescent="0.4">
      <c r="A20" s="287" t="s">
        <v>35</v>
      </c>
      <c r="B20" s="489" t="s">
        <v>9</v>
      </c>
      <c r="C20" s="489"/>
      <c r="D20" s="289"/>
      <c r="E20" s="289"/>
      <c r="F20" s="289"/>
      <c r="G20" s="289"/>
      <c r="H20" s="289"/>
    </row>
    <row r="21" spans="1:14" ht="26.25" customHeight="1" x14ac:dyDescent="0.4">
      <c r="A21" s="287" t="s">
        <v>36</v>
      </c>
      <c r="B21" s="489" t="s">
        <v>11</v>
      </c>
      <c r="C21" s="489"/>
      <c r="D21" s="489"/>
      <c r="E21" s="489"/>
      <c r="F21" s="489"/>
      <c r="G21" s="489"/>
      <c r="H21" s="489"/>
      <c r="I21" s="291"/>
    </row>
    <row r="22" spans="1:14" ht="26.25" customHeight="1" x14ac:dyDescent="0.4">
      <c r="A22" s="287" t="s">
        <v>37</v>
      </c>
      <c r="B22" s="292" t="s">
        <v>12</v>
      </c>
      <c r="C22" s="289"/>
      <c r="D22" s="289"/>
      <c r="E22" s="289"/>
      <c r="F22" s="289"/>
      <c r="G22" s="289"/>
      <c r="H22" s="289"/>
    </row>
    <row r="23" spans="1:14" ht="26.25" customHeight="1" x14ac:dyDescent="0.4">
      <c r="A23" s="287" t="s">
        <v>38</v>
      </c>
      <c r="B23" s="292">
        <v>42762</v>
      </c>
      <c r="C23" s="289"/>
      <c r="D23" s="289"/>
      <c r="E23" s="289"/>
      <c r="F23" s="289"/>
      <c r="G23" s="289"/>
      <c r="H23" s="289"/>
    </row>
    <row r="24" spans="1:14" ht="18.75" x14ac:dyDescent="0.3">
      <c r="A24" s="287"/>
      <c r="B24" s="293"/>
    </row>
    <row r="25" spans="1:14" ht="18.75" x14ac:dyDescent="0.3">
      <c r="A25" s="294" t="s">
        <v>1</v>
      </c>
      <c r="B25" s="293"/>
    </row>
    <row r="26" spans="1:14" ht="26.25" customHeight="1" x14ac:dyDescent="0.4">
      <c r="A26" s="295" t="s">
        <v>4</v>
      </c>
      <c r="B26" s="484" t="s">
        <v>133</v>
      </c>
      <c r="C26" s="484"/>
    </row>
    <row r="27" spans="1:14" ht="26.25" customHeight="1" x14ac:dyDescent="0.4">
      <c r="A27" s="296" t="s">
        <v>48</v>
      </c>
      <c r="B27" s="490" t="s">
        <v>134</v>
      </c>
      <c r="C27" s="490"/>
    </row>
    <row r="28" spans="1:14" ht="27" customHeight="1" x14ac:dyDescent="0.4">
      <c r="A28" s="296" t="s">
        <v>6</v>
      </c>
      <c r="B28" s="297">
        <v>98.8</v>
      </c>
    </row>
    <row r="29" spans="1:14" s="14" customFormat="1" ht="27" customHeight="1" x14ac:dyDescent="0.4">
      <c r="A29" s="296" t="s">
        <v>49</v>
      </c>
      <c r="B29" s="298">
        <v>0</v>
      </c>
      <c r="C29" s="491" t="s">
        <v>50</v>
      </c>
      <c r="D29" s="492"/>
      <c r="E29" s="492"/>
      <c r="F29" s="492"/>
      <c r="G29" s="493"/>
      <c r="I29" s="299"/>
      <c r="J29" s="299"/>
      <c r="K29" s="299"/>
      <c r="L29" s="299"/>
    </row>
    <row r="30" spans="1:14" s="14" customFormat="1" ht="19.5" customHeight="1" x14ac:dyDescent="0.3">
      <c r="A30" s="296" t="s">
        <v>51</v>
      </c>
      <c r="B30" s="300">
        <f>B28-B29</f>
        <v>98.8</v>
      </c>
      <c r="C30" s="301"/>
      <c r="D30" s="301"/>
      <c r="E30" s="301"/>
      <c r="F30" s="301"/>
      <c r="G30" s="302"/>
      <c r="I30" s="299"/>
      <c r="J30" s="299"/>
      <c r="K30" s="299"/>
      <c r="L30" s="299"/>
    </row>
    <row r="31" spans="1:14" s="14" customFormat="1" ht="27" customHeight="1" x14ac:dyDescent="0.4">
      <c r="A31" s="296" t="s">
        <v>52</v>
      </c>
      <c r="B31" s="303">
        <v>1</v>
      </c>
      <c r="C31" s="494" t="s">
        <v>53</v>
      </c>
      <c r="D31" s="495"/>
      <c r="E31" s="495"/>
      <c r="F31" s="495"/>
      <c r="G31" s="495"/>
      <c r="H31" s="496"/>
      <c r="I31" s="299"/>
      <c r="J31" s="299"/>
      <c r="K31" s="299"/>
      <c r="L31" s="299"/>
    </row>
    <row r="32" spans="1:14" s="14" customFormat="1" ht="27" customHeight="1" x14ac:dyDescent="0.4">
      <c r="A32" s="296" t="s">
        <v>54</v>
      </c>
      <c r="B32" s="303">
        <v>1</v>
      </c>
      <c r="C32" s="494" t="s">
        <v>55</v>
      </c>
      <c r="D32" s="495"/>
      <c r="E32" s="495"/>
      <c r="F32" s="495"/>
      <c r="G32" s="495"/>
      <c r="H32" s="496"/>
      <c r="I32" s="299"/>
      <c r="J32" s="299"/>
      <c r="K32" s="299"/>
      <c r="L32" s="304"/>
      <c r="M32" s="304"/>
      <c r="N32" s="305"/>
    </row>
    <row r="33" spans="1:14" s="14" customFormat="1" ht="17.25" customHeight="1" x14ac:dyDescent="0.3">
      <c r="A33" s="296"/>
      <c r="B33" s="306"/>
      <c r="C33" s="307"/>
      <c r="D33" s="307"/>
      <c r="E33" s="307"/>
      <c r="F33" s="307"/>
      <c r="G33" s="307"/>
      <c r="H33" s="307"/>
      <c r="I33" s="299"/>
      <c r="J33" s="299"/>
      <c r="K33" s="299"/>
      <c r="L33" s="304"/>
      <c r="M33" s="304"/>
      <c r="N33" s="305"/>
    </row>
    <row r="34" spans="1:14" s="14" customFormat="1" ht="18.75" x14ac:dyDescent="0.3">
      <c r="A34" s="296" t="s">
        <v>56</v>
      </c>
      <c r="B34" s="308">
        <f>B31/B32</f>
        <v>1</v>
      </c>
      <c r="C34" s="286" t="s">
        <v>57</v>
      </c>
      <c r="D34" s="286"/>
      <c r="E34" s="286"/>
      <c r="F34" s="286"/>
      <c r="G34" s="286"/>
      <c r="I34" s="299"/>
      <c r="J34" s="299"/>
      <c r="K34" s="299"/>
      <c r="L34" s="304"/>
      <c r="M34" s="304"/>
      <c r="N34" s="305"/>
    </row>
    <row r="35" spans="1:14" s="14" customFormat="1" ht="19.5" customHeight="1" x14ac:dyDescent="0.3">
      <c r="A35" s="296"/>
      <c r="B35" s="300"/>
      <c r="G35" s="286"/>
      <c r="I35" s="299"/>
      <c r="J35" s="299"/>
      <c r="K35" s="299"/>
      <c r="L35" s="304"/>
      <c r="M35" s="304"/>
      <c r="N35" s="305"/>
    </row>
    <row r="36" spans="1:14" s="14" customFormat="1" ht="27" customHeight="1" x14ac:dyDescent="0.4">
      <c r="A36" s="309" t="s">
        <v>58</v>
      </c>
      <c r="B36" s="310">
        <v>50</v>
      </c>
      <c r="C36" s="286"/>
      <c r="D36" s="497" t="s">
        <v>59</v>
      </c>
      <c r="E36" s="498"/>
      <c r="F36" s="497" t="s">
        <v>60</v>
      </c>
      <c r="G36" s="499"/>
      <c r="J36" s="299"/>
      <c r="K36" s="299"/>
      <c r="L36" s="304"/>
      <c r="M36" s="304"/>
      <c r="N36" s="305"/>
    </row>
    <row r="37" spans="1:14" s="14" customFormat="1" ht="27" customHeight="1" x14ac:dyDescent="0.4">
      <c r="A37" s="311" t="s">
        <v>61</v>
      </c>
      <c r="B37" s="312">
        <v>10</v>
      </c>
      <c r="C37" s="313" t="s">
        <v>62</v>
      </c>
      <c r="D37" s="314" t="s">
        <v>63</v>
      </c>
      <c r="E37" s="315" t="s">
        <v>64</v>
      </c>
      <c r="F37" s="314" t="s">
        <v>63</v>
      </c>
      <c r="G37" s="316" t="s">
        <v>64</v>
      </c>
      <c r="I37" s="317" t="s">
        <v>65</v>
      </c>
      <c r="J37" s="299"/>
      <c r="K37" s="299"/>
      <c r="L37" s="304"/>
      <c r="M37" s="304"/>
      <c r="N37" s="305"/>
    </row>
    <row r="38" spans="1:14" s="14" customFormat="1" ht="26.25" customHeight="1" x14ac:dyDescent="0.4">
      <c r="A38" s="311" t="s">
        <v>66</v>
      </c>
      <c r="B38" s="312">
        <v>25</v>
      </c>
      <c r="C38" s="318">
        <v>1</v>
      </c>
      <c r="D38" s="319">
        <v>12238309</v>
      </c>
      <c r="E38" s="320">
        <f>IF(ISBLANK(D38),"-",$D$48/$D$45*D38)</f>
        <v>13038897.293841895</v>
      </c>
      <c r="F38" s="319">
        <v>12871006</v>
      </c>
      <c r="G38" s="321">
        <f>IF(ISBLANK(F38),"-",$D$48/$F$45*F38)</f>
        <v>13097185.664977044</v>
      </c>
      <c r="I38" s="322"/>
      <c r="J38" s="299"/>
      <c r="K38" s="299"/>
      <c r="L38" s="304"/>
      <c r="M38" s="304"/>
      <c r="N38" s="305"/>
    </row>
    <row r="39" spans="1:14" s="14" customFormat="1" ht="26.25" customHeight="1" x14ac:dyDescent="0.4">
      <c r="A39" s="311" t="s">
        <v>67</v>
      </c>
      <c r="B39" s="312">
        <v>1</v>
      </c>
      <c r="C39" s="323">
        <v>2</v>
      </c>
      <c r="D39" s="324">
        <v>12244061</v>
      </c>
      <c r="E39" s="325">
        <f>IF(ISBLANK(D39),"-",$D$48/$D$45*D39)</f>
        <v>13045025.569997871</v>
      </c>
      <c r="F39" s="324">
        <v>12894500</v>
      </c>
      <c r="G39" s="326">
        <f>IF(ISBLANK(F39),"-",$D$48/$F$45*F39)</f>
        <v>13121092.520432862</v>
      </c>
      <c r="I39" s="501">
        <f>ABS((F43/D43*D42)-F42)/D42</f>
        <v>2.9046621659336146E-3</v>
      </c>
      <c r="J39" s="299"/>
      <c r="K39" s="299"/>
      <c r="L39" s="304"/>
      <c r="M39" s="304"/>
      <c r="N39" s="305"/>
    </row>
    <row r="40" spans="1:14" ht="26.25" customHeight="1" x14ac:dyDescent="0.4">
      <c r="A40" s="311" t="s">
        <v>68</v>
      </c>
      <c r="B40" s="312">
        <v>1</v>
      </c>
      <c r="C40" s="323">
        <v>3</v>
      </c>
      <c r="D40" s="324">
        <v>12306469</v>
      </c>
      <c r="E40" s="325">
        <f>IF(ISBLANK(D40),"-",$D$48/$D$45*D40)</f>
        <v>13111516.087790327</v>
      </c>
      <c r="F40" s="324">
        <v>12859913</v>
      </c>
      <c r="G40" s="326">
        <f>IF(ISBLANK(F40),"-",$D$48/$F$45*F40)</f>
        <v>13085897.729862913</v>
      </c>
      <c r="I40" s="501"/>
      <c r="L40" s="304"/>
      <c r="M40" s="304"/>
      <c r="N40" s="327"/>
    </row>
    <row r="41" spans="1:14" ht="27" customHeight="1" x14ac:dyDescent="0.4">
      <c r="A41" s="311" t="s">
        <v>69</v>
      </c>
      <c r="B41" s="312">
        <v>1</v>
      </c>
      <c r="C41" s="328">
        <v>4</v>
      </c>
      <c r="D41" s="329"/>
      <c r="E41" s="330" t="str">
        <f>IF(ISBLANK(D41),"-",$D$48/$D$45*D41)</f>
        <v>-</v>
      </c>
      <c r="F41" s="329"/>
      <c r="G41" s="331" t="str">
        <f>IF(ISBLANK(F41),"-",$D$48/$F$45*F41)</f>
        <v>-</v>
      </c>
      <c r="I41" s="332"/>
      <c r="L41" s="304"/>
      <c r="M41" s="304"/>
      <c r="N41" s="327"/>
    </row>
    <row r="42" spans="1:14" ht="27" customHeight="1" x14ac:dyDescent="0.4">
      <c r="A42" s="311" t="s">
        <v>70</v>
      </c>
      <c r="B42" s="312">
        <v>1</v>
      </c>
      <c r="C42" s="333" t="s">
        <v>71</v>
      </c>
      <c r="D42" s="334">
        <f>AVERAGE(D38:D41)</f>
        <v>12262946.333333334</v>
      </c>
      <c r="E42" s="335">
        <f>AVERAGE(E38:E41)</f>
        <v>13065146.317210032</v>
      </c>
      <c r="F42" s="334">
        <f>AVERAGE(F38:F41)</f>
        <v>12875139.666666666</v>
      </c>
      <c r="G42" s="336">
        <f>AVERAGE(G38:G41)</f>
        <v>13101391.971757606</v>
      </c>
      <c r="H42" s="337"/>
    </row>
    <row r="43" spans="1:14" ht="26.25" customHeight="1" x14ac:dyDescent="0.4">
      <c r="A43" s="311" t="s">
        <v>72</v>
      </c>
      <c r="B43" s="312">
        <v>1</v>
      </c>
      <c r="C43" s="338" t="s">
        <v>73</v>
      </c>
      <c r="D43" s="339">
        <v>14.25</v>
      </c>
      <c r="E43" s="327"/>
      <c r="F43" s="339">
        <v>14.92</v>
      </c>
      <c r="H43" s="337"/>
    </row>
    <row r="44" spans="1:14" ht="26.25" customHeight="1" x14ac:dyDescent="0.4">
      <c r="A44" s="311" t="s">
        <v>74</v>
      </c>
      <c r="B44" s="312">
        <v>1</v>
      </c>
      <c r="C44" s="340" t="s">
        <v>75</v>
      </c>
      <c r="D44" s="341">
        <f>D43*$B$34</f>
        <v>14.25</v>
      </c>
      <c r="E44" s="342"/>
      <c r="F44" s="341">
        <f>F43*$B$34</f>
        <v>14.92</v>
      </c>
      <c r="H44" s="337"/>
    </row>
    <row r="45" spans="1:14" ht="19.5" customHeight="1" x14ac:dyDescent="0.3">
      <c r="A45" s="311" t="s">
        <v>76</v>
      </c>
      <c r="B45" s="343">
        <f>(B44/B43)*(B42/B41)*(B40/B39)*(B38/B37)*B36</f>
        <v>125</v>
      </c>
      <c r="C45" s="340" t="s">
        <v>77</v>
      </c>
      <c r="D45" s="344">
        <f>D44*$B$30/100</f>
        <v>14.078999999999999</v>
      </c>
      <c r="E45" s="345"/>
      <c r="F45" s="344">
        <f>F44*$B$30/100</f>
        <v>14.740959999999999</v>
      </c>
      <c r="H45" s="337"/>
    </row>
    <row r="46" spans="1:14" ht="19.5" customHeight="1" x14ac:dyDescent="0.3">
      <c r="A46" s="502" t="s">
        <v>78</v>
      </c>
      <c r="B46" s="503"/>
      <c r="C46" s="340" t="s">
        <v>79</v>
      </c>
      <c r="D46" s="346">
        <f>D45/$B$45</f>
        <v>0.112632</v>
      </c>
      <c r="E46" s="347"/>
      <c r="F46" s="348">
        <f>F45/$B$45</f>
        <v>0.11792767999999999</v>
      </c>
      <c r="H46" s="337"/>
    </row>
    <row r="47" spans="1:14" ht="27" customHeight="1" x14ac:dyDescent="0.4">
      <c r="A47" s="504"/>
      <c r="B47" s="505"/>
      <c r="C47" s="349" t="s">
        <v>80</v>
      </c>
      <c r="D47" s="350">
        <v>0.12</v>
      </c>
      <c r="E47" s="351"/>
      <c r="F47" s="347"/>
      <c r="H47" s="337"/>
    </row>
    <row r="48" spans="1:14" ht="18.75" x14ac:dyDescent="0.3">
      <c r="C48" s="352" t="s">
        <v>81</v>
      </c>
      <c r="D48" s="344">
        <f>D47*$B$45</f>
        <v>15</v>
      </c>
      <c r="F48" s="353"/>
      <c r="H48" s="337"/>
    </row>
    <row r="49" spans="1:12" ht="19.5" customHeight="1" x14ac:dyDescent="0.3">
      <c r="C49" s="354" t="s">
        <v>82</v>
      </c>
      <c r="D49" s="355">
        <f>D48/B34</f>
        <v>15</v>
      </c>
      <c r="F49" s="353"/>
      <c r="H49" s="337"/>
    </row>
    <row r="50" spans="1:12" ht="18.75" x14ac:dyDescent="0.3">
      <c r="C50" s="309" t="s">
        <v>83</v>
      </c>
      <c r="D50" s="356">
        <f>AVERAGE(E38:E41,G38:G41)</f>
        <v>13083269.14448382</v>
      </c>
      <c r="F50" s="357"/>
      <c r="H50" s="337"/>
    </row>
    <row r="51" spans="1:12" ht="18.75" x14ac:dyDescent="0.3">
      <c r="C51" s="311" t="s">
        <v>84</v>
      </c>
      <c r="D51" s="358">
        <f>STDEV(E38:E41,G38:G41)/D50</f>
        <v>2.6167749854041941E-3</v>
      </c>
      <c r="F51" s="357"/>
      <c r="H51" s="337"/>
    </row>
    <row r="52" spans="1:12" ht="19.5" customHeight="1" x14ac:dyDescent="0.3">
      <c r="C52" s="359" t="s">
        <v>20</v>
      </c>
      <c r="D52" s="360">
        <f>COUNT(E38:E41,G38:G41)</f>
        <v>6</v>
      </c>
      <c r="F52" s="357"/>
    </row>
    <row r="54" spans="1:12" ht="18.75" x14ac:dyDescent="0.3">
      <c r="A54" s="361" t="s">
        <v>1</v>
      </c>
      <c r="B54" s="362" t="s">
        <v>85</v>
      </c>
    </row>
    <row r="55" spans="1:12" ht="18.75" x14ac:dyDescent="0.3">
      <c r="A55" s="286" t="s">
        <v>86</v>
      </c>
      <c r="B55" s="363" t="str">
        <f>B21</f>
        <v>Each film coated tablet contains: Tenofovir Disoproxil Fumarate 300 mg equivalent to Tenofovir Disoproxil 245 mg and Lamivudine USP 300 mg.</v>
      </c>
    </row>
    <row r="56" spans="1:12" ht="26.25" customHeight="1" x14ac:dyDescent="0.4">
      <c r="A56" s="364" t="s">
        <v>87</v>
      </c>
      <c r="B56" s="365">
        <v>300</v>
      </c>
      <c r="C56" s="286" t="str">
        <f>B20</f>
        <v>Lamivudine and Tenofovir Disoproxil Fumarate</v>
      </c>
      <c r="H56" s="366"/>
    </row>
    <row r="57" spans="1:12" ht="18.75" x14ac:dyDescent="0.3">
      <c r="A57" s="363" t="s">
        <v>88</v>
      </c>
      <c r="B57" s="434">
        <f>Uniformity!C46</f>
        <v>869.21750000000009</v>
      </c>
      <c r="H57" s="366"/>
    </row>
    <row r="58" spans="1:12" ht="19.5" customHeight="1" x14ac:dyDescent="0.3">
      <c r="H58" s="366"/>
    </row>
    <row r="59" spans="1:12" s="14" customFormat="1" ht="27" customHeight="1" x14ac:dyDescent="0.4">
      <c r="A59" s="309" t="s">
        <v>89</v>
      </c>
      <c r="B59" s="310">
        <v>200</v>
      </c>
      <c r="C59" s="286"/>
      <c r="D59" s="367" t="s">
        <v>90</v>
      </c>
      <c r="E59" s="368" t="s">
        <v>62</v>
      </c>
      <c r="F59" s="368" t="s">
        <v>63</v>
      </c>
      <c r="G59" s="368" t="s">
        <v>91</v>
      </c>
      <c r="H59" s="313" t="s">
        <v>92</v>
      </c>
      <c r="L59" s="299"/>
    </row>
    <row r="60" spans="1:12" s="14" customFormat="1" ht="26.25" customHeight="1" x14ac:dyDescent="0.4">
      <c r="A60" s="311" t="s">
        <v>93</v>
      </c>
      <c r="B60" s="312">
        <v>4</v>
      </c>
      <c r="C60" s="506" t="s">
        <v>94</v>
      </c>
      <c r="D60" s="509">
        <f>Lamivudine!D60</f>
        <v>863.35</v>
      </c>
      <c r="E60" s="369">
        <v>1</v>
      </c>
      <c r="F60" s="370">
        <v>13146991</v>
      </c>
      <c r="G60" s="435">
        <f>IF(ISBLANK(F60),"-",(F60/$D$50*$D$47*$B$68)*($B$57/$D$60))</f>
        <v>303.5099357471662</v>
      </c>
      <c r="H60" s="453">
        <f t="shared" ref="H60:H71" si="0">IF(ISBLANK(F60),"-",(G60/$B$56)*100)</f>
        <v>101.16997858238874</v>
      </c>
      <c r="L60" s="299"/>
    </row>
    <row r="61" spans="1:12" s="14" customFormat="1" ht="26.25" customHeight="1" x14ac:dyDescent="0.4">
      <c r="A61" s="311" t="s">
        <v>95</v>
      </c>
      <c r="B61" s="312">
        <v>50</v>
      </c>
      <c r="C61" s="507"/>
      <c r="D61" s="510"/>
      <c r="E61" s="371">
        <v>2</v>
      </c>
      <c r="F61" s="324">
        <v>13225859</v>
      </c>
      <c r="G61" s="436">
        <f>IF(ISBLANK(F61),"-",(F61/$D$50*$D$47*$B$68)*($B$57/$D$60))</f>
        <v>305.33067340588275</v>
      </c>
      <c r="H61" s="454">
        <f t="shared" si="0"/>
        <v>101.77689113529425</v>
      </c>
      <c r="L61" s="299"/>
    </row>
    <row r="62" spans="1:12" s="14" customFormat="1" ht="26.25" customHeight="1" x14ac:dyDescent="0.4">
      <c r="A62" s="311" t="s">
        <v>96</v>
      </c>
      <c r="B62" s="312">
        <v>1</v>
      </c>
      <c r="C62" s="507"/>
      <c r="D62" s="510"/>
      <c r="E62" s="371">
        <v>3</v>
      </c>
      <c r="F62" s="372">
        <v>13182885</v>
      </c>
      <c r="G62" s="436">
        <f>IF(ISBLANK(F62),"-",(F62/$D$50*$D$47*$B$68)*($B$57/$D$60))</f>
        <v>304.3385805400095</v>
      </c>
      <c r="H62" s="454">
        <f t="shared" si="0"/>
        <v>101.4461935133365</v>
      </c>
      <c r="L62" s="299"/>
    </row>
    <row r="63" spans="1:12" ht="27" customHeight="1" x14ac:dyDescent="0.4">
      <c r="A63" s="311" t="s">
        <v>97</v>
      </c>
      <c r="B63" s="312">
        <v>1</v>
      </c>
      <c r="C63" s="508"/>
      <c r="D63" s="511"/>
      <c r="E63" s="373">
        <v>4</v>
      </c>
      <c r="F63" s="374"/>
      <c r="G63" s="436" t="str">
        <f>IF(ISBLANK(F63),"-",(F63/$D$50*$D$47*$B$68)*($B$57/$D$60))</f>
        <v>-</v>
      </c>
      <c r="H63" s="454" t="str">
        <f t="shared" si="0"/>
        <v>-</v>
      </c>
    </row>
    <row r="64" spans="1:12" ht="26.25" customHeight="1" x14ac:dyDescent="0.4">
      <c r="A64" s="311" t="s">
        <v>98</v>
      </c>
      <c r="B64" s="312">
        <v>1</v>
      </c>
      <c r="C64" s="506" t="s">
        <v>99</v>
      </c>
      <c r="D64" s="509">
        <f>Lamivudine!D64</f>
        <v>871.16</v>
      </c>
      <c r="E64" s="369">
        <v>1</v>
      </c>
      <c r="F64" s="370"/>
      <c r="G64" s="435" t="str">
        <f>IF(ISBLANK(F64),"-",(F64/$D$50*$D$47*$B$68)*($B$57/$D$64))</f>
        <v>-</v>
      </c>
      <c r="H64" s="453" t="str">
        <f t="shared" si="0"/>
        <v>-</v>
      </c>
    </row>
    <row r="65" spans="1:8" ht="26.25" customHeight="1" x14ac:dyDescent="0.4">
      <c r="A65" s="311" t="s">
        <v>100</v>
      </c>
      <c r="B65" s="312">
        <v>1</v>
      </c>
      <c r="C65" s="507"/>
      <c r="D65" s="510"/>
      <c r="E65" s="371">
        <v>2</v>
      </c>
      <c r="F65" s="324"/>
      <c r="G65" s="436" t="str">
        <f>IF(ISBLANK(F65),"-",(F65/$D$50*$D$47*$B$68)*($B$57/$D$64))</f>
        <v>-</v>
      </c>
      <c r="H65" s="454" t="str">
        <f t="shared" si="0"/>
        <v>-</v>
      </c>
    </row>
    <row r="66" spans="1:8" ht="26.25" customHeight="1" x14ac:dyDescent="0.4">
      <c r="A66" s="311" t="s">
        <v>101</v>
      </c>
      <c r="B66" s="312">
        <v>1</v>
      </c>
      <c r="C66" s="507"/>
      <c r="D66" s="510"/>
      <c r="E66" s="371">
        <v>3</v>
      </c>
      <c r="F66" s="324"/>
      <c r="G66" s="436" t="str">
        <f>IF(ISBLANK(F66),"-",(F66/$D$50*$D$47*$B$68)*($B$57/$D$64))</f>
        <v>-</v>
      </c>
      <c r="H66" s="454" t="str">
        <f t="shared" si="0"/>
        <v>-</v>
      </c>
    </row>
    <row r="67" spans="1:8" ht="27" customHeight="1" x14ac:dyDescent="0.4">
      <c r="A67" s="311" t="s">
        <v>102</v>
      </c>
      <c r="B67" s="312">
        <v>1</v>
      </c>
      <c r="C67" s="508"/>
      <c r="D67" s="511"/>
      <c r="E67" s="373">
        <v>4</v>
      </c>
      <c r="F67" s="374"/>
      <c r="G67" s="452" t="str">
        <f>IF(ISBLANK(F67),"-",(F67/$D$50*$D$47*$B$68)*($B$57/$D$64))</f>
        <v>-</v>
      </c>
      <c r="H67" s="455" t="str">
        <f t="shared" si="0"/>
        <v>-</v>
      </c>
    </row>
    <row r="68" spans="1:8" ht="26.25" customHeight="1" x14ac:dyDescent="0.4">
      <c r="A68" s="311" t="s">
        <v>103</v>
      </c>
      <c r="B68" s="375">
        <f>(B67/B66)*(B65/B64)*(B63/B62)*(B61/B60)*B59</f>
        <v>2500</v>
      </c>
      <c r="C68" s="506" t="s">
        <v>104</v>
      </c>
      <c r="D68" s="509">
        <f>Lamivudine!D68</f>
        <v>878.67</v>
      </c>
      <c r="E68" s="369">
        <v>1</v>
      </c>
      <c r="F68" s="370">
        <v>13168837</v>
      </c>
      <c r="G68" s="435">
        <f>IF(ISBLANK(F68),"-",(F68/$D$50*$D$47*$B$68)*($B$57/$D$68))</f>
        <v>298.71364677965875</v>
      </c>
      <c r="H68" s="454">
        <f t="shared" si="0"/>
        <v>99.571215593219591</v>
      </c>
    </row>
    <row r="69" spans="1:8" ht="27" customHeight="1" x14ac:dyDescent="0.4">
      <c r="A69" s="359" t="s">
        <v>105</v>
      </c>
      <c r="B69" s="376">
        <f>(D47*B68)/B56*B57</f>
        <v>869.21750000000009</v>
      </c>
      <c r="C69" s="507"/>
      <c r="D69" s="510"/>
      <c r="E69" s="371">
        <v>2</v>
      </c>
      <c r="F69" s="324">
        <v>13208631</v>
      </c>
      <c r="G69" s="436">
        <f>IF(ISBLANK(F69),"-",(F69/$D$50*$D$47*$B$68)*($B$57/$D$68))</f>
        <v>299.61630894033016</v>
      </c>
      <c r="H69" s="454">
        <f t="shared" si="0"/>
        <v>99.872102980110057</v>
      </c>
    </row>
    <row r="70" spans="1:8" ht="26.25" customHeight="1" x14ac:dyDescent="0.4">
      <c r="A70" s="519" t="s">
        <v>78</v>
      </c>
      <c r="B70" s="520"/>
      <c r="C70" s="507"/>
      <c r="D70" s="510"/>
      <c r="E70" s="371">
        <v>3</v>
      </c>
      <c r="F70" s="324">
        <v>13172018</v>
      </c>
      <c r="G70" s="436">
        <f>IF(ISBLANK(F70),"-",(F70/$D$50*$D$47*$B$68)*($B$57/$D$68))</f>
        <v>298.78580259041149</v>
      </c>
      <c r="H70" s="454">
        <f t="shared" si="0"/>
        <v>99.595267530137164</v>
      </c>
    </row>
    <row r="71" spans="1:8" ht="27" customHeight="1" x14ac:dyDescent="0.4">
      <c r="A71" s="521"/>
      <c r="B71" s="522"/>
      <c r="C71" s="518"/>
      <c r="D71" s="511"/>
      <c r="E71" s="373">
        <v>4</v>
      </c>
      <c r="F71" s="374"/>
      <c r="G71" s="452" t="str">
        <f>IF(ISBLANK(F71),"-",(F71/$D$50*$D$47*$B$68)*($B$57/$D$68))</f>
        <v>-</v>
      </c>
      <c r="H71" s="455" t="str">
        <f t="shared" si="0"/>
        <v>-</v>
      </c>
    </row>
    <row r="72" spans="1:8" ht="26.25" customHeight="1" x14ac:dyDescent="0.4">
      <c r="A72" s="377"/>
      <c r="B72" s="377"/>
      <c r="C72" s="377"/>
      <c r="D72" s="377"/>
      <c r="E72" s="377"/>
      <c r="F72" s="379" t="s">
        <v>71</v>
      </c>
      <c r="G72" s="441">
        <f>AVERAGE(G60:G71)</f>
        <v>301.71582466724311</v>
      </c>
      <c r="H72" s="456">
        <f>AVERAGE(H60:H71)</f>
        <v>100.57194155574773</v>
      </c>
    </row>
    <row r="73" spans="1:8" ht="26.25" customHeight="1" x14ac:dyDescent="0.4">
      <c r="C73" s="377"/>
      <c r="D73" s="377"/>
      <c r="E73" s="377"/>
      <c r="F73" s="380" t="s">
        <v>84</v>
      </c>
      <c r="G73" s="440">
        <f>STDEV(G60:G71)/G72</f>
        <v>9.9619921324077855E-3</v>
      </c>
      <c r="H73" s="440">
        <f>STDEV(H60:H71)/H72</f>
        <v>9.961992132407756E-3</v>
      </c>
    </row>
    <row r="74" spans="1:8" ht="27" customHeight="1" x14ac:dyDescent="0.4">
      <c r="A74" s="377"/>
      <c r="B74" s="377"/>
      <c r="C74" s="378"/>
      <c r="D74" s="378"/>
      <c r="E74" s="381"/>
      <c r="F74" s="382" t="s">
        <v>20</v>
      </c>
      <c r="G74" s="383">
        <f>COUNT(G60:G71)</f>
        <v>6</v>
      </c>
      <c r="H74" s="383">
        <f>COUNT(H60:H71)</f>
        <v>6</v>
      </c>
    </row>
    <row r="76" spans="1:8" ht="26.25" customHeight="1" x14ac:dyDescent="0.4">
      <c r="A76" s="295" t="s">
        <v>106</v>
      </c>
      <c r="B76" s="384" t="s">
        <v>107</v>
      </c>
      <c r="C76" s="514" t="str">
        <f>B26</f>
        <v>Tenofovir Disoproxil Fumurate</v>
      </c>
      <c r="D76" s="514"/>
      <c r="E76" s="385" t="s">
        <v>108</v>
      </c>
      <c r="F76" s="385"/>
      <c r="G76" s="386">
        <f>H72</f>
        <v>100.57194155574773</v>
      </c>
      <c r="H76" s="387"/>
    </row>
    <row r="77" spans="1:8" ht="18.75" x14ac:dyDescent="0.3">
      <c r="A77" s="294" t="s">
        <v>109</v>
      </c>
      <c r="B77" s="294" t="s">
        <v>110</v>
      </c>
    </row>
    <row r="78" spans="1:8" ht="18.75" x14ac:dyDescent="0.3">
      <c r="A78" s="294"/>
      <c r="B78" s="294"/>
    </row>
    <row r="79" spans="1:8" ht="26.25" customHeight="1" x14ac:dyDescent="0.4">
      <c r="A79" s="295" t="s">
        <v>4</v>
      </c>
      <c r="B79" s="500" t="str">
        <f>B26</f>
        <v>Tenofovir Disoproxil Fumurate</v>
      </c>
      <c r="C79" s="500"/>
    </row>
    <row r="80" spans="1:8" ht="26.25" customHeight="1" x14ac:dyDescent="0.4">
      <c r="A80" s="296" t="s">
        <v>48</v>
      </c>
      <c r="B80" s="500" t="str">
        <f>B27</f>
        <v>T11-8</v>
      </c>
      <c r="C80" s="500"/>
    </row>
    <row r="81" spans="1:12" ht="27" customHeight="1" x14ac:dyDescent="0.4">
      <c r="A81" s="296" t="s">
        <v>6</v>
      </c>
      <c r="B81" s="388">
        <f>B28</f>
        <v>98.8</v>
      </c>
    </row>
    <row r="82" spans="1:12" s="14" customFormat="1" ht="27" customHeight="1" x14ac:dyDescent="0.4">
      <c r="A82" s="296" t="s">
        <v>49</v>
      </c>
      <c r="B82" s="298">
        <v>0</v>
      </c>
      <c r="C82" s="491" t="s">
        <v>50</v>
      </c>
      <c r="D82" s="492"/>
      <c r="E82" s="492"/>
      <c r="F82" s="492"/>
      <c r="G82" s="493"/>
      <c r="I82" s="299"/>
      <c r="J82" s="299"/>
      <c r="K82" s="299"/>
      <c r="L82" s="299"/>
    </row>
    <row r="83" spans="1:12" s="14" customFormat="1" ht="19.5" customHeight="1" x14ac:dyDescent="0.3">
      <c r="A83" s="296" t="s">
        <v>51</v>
      </c>
      <c r="B83" s="300">
        <f>B81-B82</f>
        <v>98.8</v>
      </c>
      <c r="C83" s="301"/>
      <c r="D83" s="301"/>
      <c r="E83" s="301"/>
      <c r="F83" s="301"/>
      <c r="G83" s="302"/>
      <c r="I83" s="299"/>
      <c r="J83" s="299"/>
      <c r="K83" s="299"/>
      <c r="L83" s="299"/>
    </row>
    <row r="84" spans="1:12" s="14" customFormat="1" ht="27" customHeight="1" x14ac:dyDescent="0.4">
      <c r="A84" s="296" t="s">
        <v>52</v>
      </c>
      <c r="B84" s="303">
        <v>1</v>
      </c>
      <c r="C84" s="494" t="s">
        <v>111</v>
      </c>
      <c r="D84" s="495"/>
      <c r="E84" s="495"/>
      <c r="F84" s="495"/>
      <c r="G84" s="495"/>
      <c r="H84" s="496"/>
      <c r="I84" s="299"/>
      <c r="J84" s="299"/>
      <c r="K84" s="299"/>
      <c r="L84" s="299"/>
    </row>
    <row r="85" spans="1:12" s="14" customFormat="1" ht="27" customHeight="1" x14ac:dyDescent="0.4">
      <c r="A85" s="296" t="s">
        <v>54</v>
      </c>
      <c r="B85" s="303">
        <v>1</v>
      </c>
      <c r="C85" s="494" t="s">
        <v>112</v>
      </c>
      <c r="D85" s="495"/>
      <c r="E85" s="495"/>
      <c r="F85" s="495"/>
      <c r="G85" s="495"/>
      <c r="H85" s="496"/>
      <c r="I85" s="299"/>
      <c r="J85" s="299"/>
      <c r="K85" s="299"/>
      <c r="L85" s="299"/>
    </row>
    <row r="86" spans="1:12" s="14" customFormat="1" ht="18.75" x14ac:dyDescent="0.3">
      <c r="A86" s="296"/>
      <c r="B86" s="306"/>
      <c r="C86" s="307"/>
      <c r="D86" s="307"/>
      <c r="E86" s="307"/>
      <c r="F86" s="307"/>
      <c r="G86" s="307"/>
      <c r="H86" s="307"/>
      <c r="I86" s="299"/>
      <c r="J86" s="299"/>
      <c r="K86" s="299"/>
      <c r="L86" s="299"/>
    </row>
    <row r="87" spans="1:12" s="14" customFormat="1" ht="18.75" x14ac:dyDescent="0.3">
      <c r="A87" s="296" t="s">
        <v>56</v>
      </c>
      <c r="B87" s="308">
        <f>B84/B85</f>
        <v>1</v>
      </c>
      <c r="C87" s="286" t="s">
        <v>57</v>
      </c>
      <c r="D87" s="286"/>
      <c r="E87" s="286"/>
      <c r="F87" s="286"/>
      <c r="G87" s="286"/>
      <c r="I87" s="299"/>
      <c r="J87" s="299"/>
      <c r="K87" s="299"/>
      <c r="L87" s="299"/>
    </row>
    <row r="88" spans="1:12" ht="19.5" customHeight="1" x14ac:dyDescent="0.3">
      <c r="A88" s="294"/>
      <c r="B88" s="294"/>
    </row>
    <row r="89" spans="1:12" ht="27" customHeight="1" x14ac:dyDescent="0.4">
      <c r="A89" s="309" t="s">
        <v>58</v>
      </c>
      <c r="B89" s="310">
        <v>50</v>
      </c>
      <c r="D89" s="389" t="s">
        <v>59</v>
      </c>
      <c r="E89" s="390"/>
      <c r="F89" s="497" t="s">
        <v>60</v>
      </c>
      <c r="G89" s="499"/>
    </row>
    <row r="90" spans="1:12" ht="27" customHeight="1" x14ac:dyDescent="0.4">
      <c r="A90" s="311" t="s">
        <v>61</v>
      </c>
      <c r="B90" s="312">
        <v>1</v>
      </c>
      <c r="C90" s="391" t="s">
        <v>62</v>
      </c>
      <c r="D90" s="314" t="s">
        <v>63</v>
      </c>
      <c r="E90" s="315" t="s">
        <v>64</v>
      </c>
      <c r="F90" s="314" t="s">
        <v>63</v>
      </c>
      <c r="G90" s="392" t="s">
        <v>64</v>
      </c>
      <c r="I90" s="317" t="s">
        <v>65</v>
      </c>
    </row>
    <row r="91" spans="1:12" ht="26.25" customHeight="1" x14ac:dyDescent="0.4">
      <c r="A91" s="311" t="s">
        <v>66</v>
      </c>
      <c r="B91" s="312">
        <v>1</v>
      </c>
      <c r="C91" s="393">
        <v>1</v>
      </c>
      <c r="D91" s="319">
        <v>32849414</v>
      </c>
      <c r="E91" s="320">
        <f>IF(ISBLANK(D91),"-",$D$101/$D$98*D91)</f>
        <v>29668406.963273749</v>
      </c>
      <c r="F91" s="319">
        <v>31200378</v>
      </c>
      <c r="G91" s="321">
        <f>IF(ISBLANK(F91),"-",$D$101/$F$98*F91)</f>
        <v>30248400.344362237</v>
      </c>
      <c r="I91" s="322"/>
    </row>
    <row r="92" spans="1:12" ht="26.25" customHeight="1" x14ac:dyDescent="0.4">
      <c r="A92" s="311" t="s">
        <v>67</v>
      </c>
      <c r="B92" s="312">
        <v>1</v>
      </c>
      <c r="C92" s="378">
        <v>2</v>
      </c>
      <c r="D92" s="324">
        <v>33153178</v>
      </c>
      <c r="E92" s="325">
        <f>IF(ISBLANK(D92),"-",$D$101/$D$98*D92)</f>
        <v>29942755.661633842</v>
      </c>
      <c r="F92" s="324">
        <v>30868602</v>
      </c>
      <c r="G92" s="326">
        <f>IF(ISBLANK(F92),"-",$D$101/$F$98*F92)</f>
        <v>29926747.405649405</v>
      </c>
      <c r="I92" s="501">
        <f>ABS((F96/D96*D95)-F95)/D95</f>
        <v>7.8356898870028877E-3</v>
      </c>
    </row>
    <row r="93" spans="1:12" ht="26.25" customHeight="1" x14ac:dyDescent="0.4">
      <c r="A93" s="311" t="s">
        <v>68</v>
      </c>
      <c r="B93" s="312">
        <v>1</v>
      </c>
      <c r="C93" s="378">
        <v>3</v>
      </c>
      <c r="D93" s="324">
        <v>32878037</v>
      </c>
      <c r="E93" s="325">
        <f>IF(ISBLANK(D93),"-",$D$101/$D$98*D93)</f>
        <v>29694258.225415282</v>
      </c>
      <c r="F93" s="324">
        <v>30821859</v>
      </c>
      <c r="G93" s="326">
        <f>IF(ISBLANK(F93),"-",$D$101/$F$98*F93)</f>
        <v>29881430.61566383</v>
      </c>
      <c r="I93" s="501"/>
    </row>
    <row r="94" spans="1:12" ht="27" customHeight="1" x14ac:dyDescent="0.4">
      <c r="A94" s="311" t="s">
        <v>69</v>
      </c>
      <c r="B94" s="312">
        <v>1</v>
      </c>
      <c r="C94" s="394">
        <v>4</v>
      </c>
      <c r="D94" s="329"/>
      <c r="E94" s="330" t="str">
        <f>IF(ISBLANK(D94),"-",$D$101/$D$98*D94)</f>
        <v>-</v>
      </c>
      <c r="F94" s="395"/>
      <c r="G94" s="331" t="str">
        <f>IF(ISBLANK(F94),"-",$D$101/$F$98*F94)</f>
        <v>-</v>
      </c>
      <c r="I94" s="332"/>
    </row>
    <row r="95" spans="1:12" ht="27" customHeight="1" x14ac:dyDescent="0.4">
      <c r="A95" s="311" t="s">
        <v>70</v>
      </c>
      <c r="B95" s="312">
        <v>1</v>
      </c>
      <c r="C95" s="396" t="s">
        <v>71</v>
      </c>
      <c r="D95" s="397">
        <f>AVERAGE(D91:D94)</f>
        <v>32960209.666666668</v>
      </c>
      <c r="E95" s="335">
        <f>AVERAGE(E91:E94)</f>
        <v>29768473.616774291</v>
      </c>
      <c r="F95" s="398">
        <f>AVERAGE(F91:F94)</f>
        <v>30963613</v>
      </c>
      <c r="G95" s="399">
        <f>AVERAGE(G91:G94)</f>
        <v>30018859.455225155</v>
      </c>
    </row>
    <row r="96" spans="1:12" ht="26.25" customHeight="1" x14ac:dyDescent="0.4">
      <c r="A96" s="311" t="s">
        <v>72</v>
      </c>
      <c r="B96" s="297">
        <v>1</v>
      </c>
      <c r="C96" s="400" t="s">
        <v>113</v>
      </c>
      <c r="D96" s="401">
        <v>16.809999999999999</v>
      </c>
      <c r="E96" s="327"/>
      <c r="F96" s="339">
        <v>15.66</v>
      </c>
    </row>
    <row r="97" spans="1:10" ht="26.25" customHeight="1" x14ac:dyDescent="0.4">
      <c r="A97" s="311" t="s">
        <v>74</v>
      </c>
      <c r="B97" s="297">
        <v>1</v>
      </c>
      <c r="C97" s="402" t="s">
        <v>114</v>
      </c>
      <c r="D97" s="403">
        <f>D96*$B$87</f>
        <v>16.809999999999999</v>
      </c>
      <c r="E97" s="342"/>
      <c r="F97" s="341">
        <f>F96*$B$87</f>
        <v>15.66</v>
      </c>
    </row>
    <row r="98" spans="1:10" ht="19.5" customHeight="1" x14ac:dyDescent="0.3">
      <c r="A98" s="311" t="s">
        <v>76</v>
      </c>
      <c r="B98" s="404">
        <f>(B97/B96)*(B95/B94)*(B93/B92)*(B91/B90)*B89</f>
        <v>50</v>
      </c>
      <c r="C98" s="402" t="s">
        <v>115</v>
      </c>
      <c r="D98" s="405">
        <f>D97*$B$83/100</f>
        <v>16.608279999999997</v>
      </c>
      <c r="E98" s="345"/>
      <c r="F98" s="344">
        <f>F97*$B$83/100</f>
        <v>15.472079999999998</v>
      </c>
    </row>
    <row r="99" spans="1:10" ht="19.5" customHeight="1" x14ac:dyDescent="0.3">
      <c r="A99" s="502" t="s">
        <v>78</v>
      </c>
      <c r="B99" s="516"/>
      <c r="C99" s="402" t="s">
        <v>116</v>
      </c>
      <c r="D99" s="406">
        <f>D98/$B$98</f>
        <v>0.33216559999999995</v>
      </c>
      <c r="E99" s="345"/>
      <c r="F99" s="348">
        <f>F98/$B$98</f>
        <v>0.30944159999999998</v>
      </c>
      <c r="G99" s="407"/>
      <c r="H99" s="337"/>
    </row>
    <row r="100" spans="1:10" ht="19.5" customHeight="1" x14ac:dyDescent="0.3">
      <c r="A100" s="504"/>
      <c r="B100" s="517"/>
      <c r="C100" s="402" t="s">
        <v>80</v>
      </c>
      <c r="D100" s="408">
        <f>$B$56/$B$116</f>
        <v>0.3</v>
      </c>
      <c r="F100" s="353"/>
      <c r="G100" s="409"/>
      <c r="H100" s="337"/>
    </row>
    <row r="101" spans="1:10" ht="18.75" x14ac:dyDescent="0.3">
      <c r="C101" s="402" t="s">
        <v>81</v>
      </c>
      <c r="D101" s="403">
        <f>D100*$B$98</f>
        <v>15</v>
      </c>
      <c r="F101" s="353"/>
      <c r="G101" s="407"/>
      <c r="H101" s="337"/>
    </row>
    <row r="102" spans="1:10" ht="19.5" customHeight="1" x14ac:dyDescent="0.3">
      <c r="C102" s="410" t="s">
        <v>82</v>
      </c>
      <c r="D102" s="411">
        <f>D101/B34</f>
        <v>15</v>
      </c>
      <c r="F102" s="357"/>
      <c r="G102" s="407"/>
      <c r="H102" s="337"/>
      <c r="J102" s="412"/>
    </row>
    <row r="103" spans="1:10" ht="18.75" x14ac:dyDescent="0.3">
      <c r="C103" s="413" t="s">
        <v>117</v>
      </c>
      <c r="D103" s="414">
        <f>AVERAGE(E91:E94,G91:G94)</f>
        <v>29893666.535999719</v>
      </c>
      <c r="F103" s="357"/>
      <c r="G103" s="415"/>
      <c r="H103" s="337"/>
      <c r="J103" s="416"/>
    </row>
    <row r="104" spans="1:10" ht="18.75" x14ac:dyDescent="0.3">
      <c r="C104" s="380" t="s">
        <v>84</v>
      </c>
      <c r="D104" s="417">
        <f>STDEV(E91:E94,G91:G94)/D103</f>
        <v>7.0168572274390021E-3</v>
      </c>
      <c r="F104" s="357"/>
      <c r="G104" s="407"/>
      <c r="H104" s="337"/>
      <c r="J104" s="416"/>
    </row>
    <row r="105" spans="1:10" ht="19.5" customHeight="1" x14ac:dyDescent="0.3">
      <c r="C105" s="382" t="s">
        <v>20</v>
      </c>
      <c r="D105" s="418">
        <f>COUNT(E91:E94,G91:G94)</f>
        <v>6</v>
      </c>
      <c r="F105" s="357"/>
      <c r="G105" s="407"/>
      <c r="H105" s="337"/>
      <c r="J105" s="416"/>
    </row>
    <row r="106" spans="1:10" ht="19.5" customHeight="1" x14ac:dyDescent="0.3">
      <c r="A106" s="361"/>
      <c r="B106" s="361"/>
      <c r="C106" s="361"/>
      <c r="D106" s="361"/>
      <c r="E106" s="361"/>
    </row>
    <row r="107" spans="1:10" ht="27" customHeight="1" x14ac:dyDescent="0.4">
      <c r="A107" s="309" t="s">
        <v>118</v>
      </c>
      <c r="B107" s="310">
        <v>1000</v>
      </c>
      <c r="C107" s="457" t="s">
        <v>119</v>
      </c>
      <c r="D107" s="457" t="s">
        <v>63</v>
      </c>
      <c r="E107" s="457" t="s">
        <v>120</v>
      </c>
      <c r="F107" s="419" t="s">
        <v>121</v>
      </c>
    </row>
    <row r="108" spans="1:10" ht="26.25" customHeight="1" x14ac:dyDescent="0.4">
      <c r="A108" s="311" t="s">
        <v>122</v>
      </c>
      <c r="B108" s="312">
        <v>1</v>
      </c>
      <c r="C108" s="462">
        <v>1</v>
      </c>
      <c r="D108" s="463">
        <v>28619187</v>
      </c>
      <c r="E108" s="437">
        <f t="shared" ref="E108:E113" si="1">IF(ISBLANK(D108),"-",D108/$D$103*$D$100*$B$116)</f>
        <v>287.20987068148787</v>
      </c>
      <c r="F108" s="464">
        <f t="shared" ref="F108:F113" si="2">IF(ISBLANK(D108), "-", (E108/$B$56)*100)</f>
        <v>95.736623560495957</v>
      </c>
    </row>
    <row r="109" spans="1:10" ht="26.25" customHeight="1" x14ac:dyDescent="0.4">
      <c r="A109" s="311" t="s">
        <v>95</v>
      </c>
      <c r="B109" s="312">
        <v>1</v>
      </c>
      <c r="C109" s="458">
        <v>2</v>
      </c>
      <c r="D109" s="460">
        <v>29101251</v>
      </c>
      <c r="E109" s="438">
        <f t="shared" si="1"/>
        <v>292.04765797084031</v>
      </c>
      <c r="F109" s="465">
        <f t="shared" si="2"/>
        <v>97.34921932361344</v>
      </c>
    </row>
    <row r="110" spans="1:10" ht="26.25" customHeight="1" x14ac:dyDescent="0.4">
      <c r="A110" s="311" t="s">
        <v>96</v>
      </c>
      <c r="B110" s="312">
        <v>1</v>
      </c>
      <c r="C110" s="458">
        <v>3</v>
      </c>
      <c r="D110" s="460">
        <v>30100137</v>
      </c>
      <c r="E110" s="438">
        <f t="shared" si="1"/>
        <v>302.07204891127992</v>
      </c>
      <c r="F110" s="465">
        <f t="shared" si="2"/>
        <v>100.69068297042665</v>
      </c>
    </row>
    <row r="111" spans="1:10" ht="26.25" customHeight="1" x14ac:dyDescent="0.4">
      <c r="A111" s="311" t="s">
        <v>97</v>
      </c>
      <c r="B111" s="312">
        <v>1</v>
      </c>
      <c r="C111" s="458">
        <v>4</v>
      </c>
      <c r="D111" s="460">
        <v>30403942</v>
      </c>
      <c r="E111" s="438">
        <f t="shared" si="1"/>
        <v>305.12090542709888</v>
      </c>
      <c r="F111" s="465">
        <f t="shared" si="2"/>
        <v>101.70696847569963</v>
      </c>
    </row>
    <row r="112" spans="1:10" ht="26.25" customHeight="1" x14ac:dyDescent="0.4">
      <c r="A112" s="311" t="s">
        <v>98</v>
      </c>
      <c r="B112" s="312">
        <v>1</v>
      </c>
      <c r="C112" s="458">
        <v>5</v>
      </c>
      <c r="D112" s="460">
        <v>30177979</v>
      </c>
      <c r="E112" s="438">
        <f t="shared" si="1"/>
        <v>302.85323779528244</v>
      </c>
      <c r="F112" s="465">
        <f t="shared" si="2"/>
        <v>100.95107926509415</v>
      </c>
    </row>
    <row r="113" spans="1:10" ht="27" customHeight="1" x14ac:dyDescent="0.4">
      <c r="A113" s="311" t="s">
        <v>100</v>
      </c>
      <c r="B113" s="312">
        <v>1</v>
      </c>
      <c r="C113" s="459">
        <v>6</v>
      </c>
      <c r="D113" s="461">
        <v>30529176</v>
      </c>
      <c r="E113" s="439">
        <f t="shared" si="1"/>
        <v>306.3777000713676</v>
      </c>
      <c r="F113" s="466">
        <f t="shared" si="2"/>
        <v>102.1259000237892</v>
      </c>
    </row>
    <row r="114" spans="1:10" ht="27" customHeight="1" x14ac:dyDescent="0.4">
      <c r="A114" s="311" t="s">
        <v>101</v>
      </c>
      <c r="B114" s="312">
        <v>1</v>
      </c>
      <c r="C114" s="420"/>
      <c r="D114" s="378"/>
      <c r="E114" s="285"/>
      <c r="F114" s="467"/>
    </row>
    <row r="115" spans="1:10" ht="26.25" customHeight="1" x14ac:dyDescent="0.4">
      <c r="A115" s="311" t="s">
        <v>102</v>
      </c>
      <c r="B115" s="312">
        <v>1</v>
      </c>
      <c r="C115" s="420"/>
      <c r="D115" s="444" t="s">
        <v>71</v>
      </c>
      <c r="E115" s="446">
        <f>AVERAGE(E108:E113)</f>
        <v>299.28023680955948</v>
      </c>
      <c r="F115" s="468">
        <f>AVERAGE(F108:F113)</f>
        <v>99.760078936519847</v>
      </c>
    </row>
    <row r="116" spans="1:10" ht="27" customHeight="1" x14ac:dyDescent="0.4">
      <c r="A116" s="311" t="s">
        <v>103</v>
      </c>
      <c r="B116" s="343">
        <f>(B115/B114)*(B113/B112)*(B111/B110)*(B109/B108)*B107</f>
        <v>1000</v>
      </c>
      <c r="C116" s="421"/>
      <c r="D116" s="445" t="s">
        <v>84</v>
      </c>
      <c r="E116" s="443">
        <f>STDEV(E108:E113)/E115</f>
        <v>2.6013300072822342E-2</v>
      </c>
      <c r="F116" s="422">
        <f>STDEV(F108:F113)/F115</f>
        <v>2.6013300072822345E-2</v>
      </c>
      <c r="I116" s="285"/>
    </row>
    <row r="117" spans="1:10" ht="27" customHeight="1" x14ac:dyDescent="0.4">
      <c r="A117" s="502" t="s">
        <v>78</v>
      </c>
      <c r="B117" s="503"/>
      <c r="C117" s="423"/>
      <c r="D117" s="382" t="s">
        <v>20</v>
      </c>
      <c r="E117" s="448">
        <f>COUNT(E108:E113)</f>
        <v>6</v>
      </c>
      <c r="F117" s="449">
        <f>COUNT(F108:F113)</f>
        <v>6</v>
      </c>
      <c r="I117" s="285"/>
      <c r="J117" s="416"/>
    </row>
    <row r="118" spans="1:10" ht="26.25" customHeight="1" x14ac:dyDescent="0.3">
      <c r="A118" s="504"/>
      <c r="B118" s="505"/>
      <c r="C118" s="285"/>
      <c r="D118" s="447"/>
      <c r="E118" s="482" t="s">
        <v>123</v>
      </c>
      <c r="F118" s="483"/>
      <c r="G118" s="285"/>
      <c r="H118" s="285"/>
      <c r="I118" s="285"/>
    </row>
    <row r="119" spans="1:10" ht="25.5" customHeight="1" x14ac:dyDescent="0.4">
      <c r="A119" s="432"/>
      <c r="B119" s="307"/>
      <c r="C119" s="285"/>
      <c r="D119" s="445" t="s">
        <v>124</v>
      </c>
      <c r="E119" s="450">
        <f>MIN(E108:E113)</f>
        <v>287.20987068148787</v>
      </c>
      <c r="F119" s="469">
        <f>MIN(F108:F113)</f>
        <v>95.736623560495957</v>
      </c>
      <c r="G119" s="285"/>
      <c r="H119" s="285"/>
      <c r="I119" s="285"/>
    </row>
    <row r="120" spans="1:10" ht="24" customHeight="1" x14ac:dyDescent="0.4">
      <c r="A120" s="432"/>
      <c r="B120" s="307"/>
      <c r="C120" s="285"/>
      <c r="D120" s="354" t="s">
        <v>125</v>
      </c>
      <c r="E120" s="451">
        <f>MAX(E108:E113)</f>
        <v>306.3777000713676</v>
      </c>
      <c r="F120" s="470">
        <f>MAX(F108:F113)</f>
        <v>102.1259000237892</v>
      </c>
      <c r="G120" s="285"/>
      <c r="H120" s="285"/>
      <c r="I120" s="285"/>
    </row>
    <row r="121" spans="1:10" ht="27" customHeight="1" x14ac:dyDescent="0.3">
      <c r="A121" s="432"/>
      <c r="B121" s="307"/>
      <c r="C121" s="285"/>
      <c r="D121" s="285"/>
      <c r="E121" s="285"/>
      <c r="F121" s="378"/>
      <c r="G121" s="285"/>
      <c r="H121" s="285"/>
      <c r="I121" s="285"/>
    </row>
    <row r="122" spans="1:10" ht="25.5" customHeight="1" x14ac:dyDescent="0.3">
      <c r="A122" s="432"/>
      <c r="B122" s="307"/>
      <c r="C122" s="285"/>
      <c r="D122" s="285"/>
      <c r="E122" s="285"/>
      <c r="F122" s="378"/>
      <c r="G122" s="285"/>
      <c r="H122" s="285"/>
      <c r="I122" s="285"/>
    </row>
    <row r="123" spans="1:10" ht="18.75" x14ac:dyDescent="0.3">
      <c r="A123" s="432"/>
      <c r="B123" s="307"/>
      <c r="C123" s="285"/>
      <c r="D123" s="285"/>
      <c r="E123" s="285"/>
      <c r="F123" s="378"/>
      <c r="G123" s="285"/>
      <c r="H123" s="285"/>
      <c r="I123" s="285"/>
    </row>
    <row r="124" spans="1:10" ht="45.75" customHeight="1" x14ac:dyDescent="0.65">
      <c r="A124" s="295" t="s">
        <v>106</v>
      </c>
      <c r="B124" s="384" t="s">
        <v>126</v>
      </c>
      <c r="C124" s="514" t="str">
        <f>B26</f>
        <v>Tenofovir Disoproxil Fumurate</v>
      </c>
      <c r="D124" s="514"/>
      <c r="E124" s="385" t="s">
        <v>127</v>
      </c>
      <c r="F124" s="385"/>
      <c r="G124" s="471">
        <f>F115</f>
        <v>99.760078936519847</v>
      </c>
      <c r="H124" s="285"/>
      <c r="I124" s="285"/>
    </row>
    <row r="125" spans="1:10" ht="45.75" customHeight="1" x14ac:dyDescent="0.65">
      <c r="A125" s="295"/>
      <c r="B125" s="384" t="s">
        <v>128</v>
      </c>
      <c r="C125" s="296" t="s">
        <v>129</v>
      </c>
      <c r="D125" s="471">
        <f>MIN(F108:F113)</f>
        <v>95.736623560495957</v>
      </c>
      <c r="E125" s="396" t="s">
        <v>130</v>
      </c>
      <c r="F125" s="471">
        <f>MAX(F108:F113)</f>
        <v>102.1259000237892</v>
      </c>
      <c r="G125" s="386"/>
      <c r="H125" s="285"/>
      <c r="I125" s="285"/>
    </row>
    <row r="126" spans="1:10" ht="19.5" customHeight="1" x14ac:dyDescent="0.3">
      <c r="A126" s="424"/>
      <c r="B126" s="424"/>
      <c r="C126" s="425"/>
      <c r="D126" s="425"/>
      <c r="E126" s="425"/>
      <c r="F126" s="425"/>
      <c r="G126" s="425"/>
      <c r="H126" s="425"/>
    </row>
    <row r="127" spans="1:10" ht="18.75" x14ac:dyDescent="0.3">
      <c r="B127" s="515" t="s">
        <v>26</v>
      </c>
      <c r="C127" s="515"/>
      <c r="E127" s="391" t="s">
        <v>27</v>
      </c>
      <c r="F127" s="426"/>
      <c r="G127" s="515" t="s">
        <v>28</v>
      </c>
      <c r="H127" s="515"/>
    </row>
    <row r="128" spans="1:10" ht="69.95" customHeight="1" x14ac:dyDescent="0.3">
      <c r="A128" s="427" t="s">
        <v>29</v>
      </c>
      <c r="B128" s="428"/>
      <c r="C128" s="428"/>
      <c r="E128" s="428"/>
      <c r="F128" s="285"/>
      <c r="G128" s="429"/>
      <c r="H128" s="429"/>
    </row>
    <row r="129" spans="1:9" ht="69.95" customHeight="1" x14ac:dyDescent="0.3">
      <c r="A129" s="427" t="s">
        <v>30</v>
      </c>
      <c r="B129" s="430"/>
      <c r="C129" s="430"/>
      <c r="E129" s="430"/>
      <c r="F129" s="285"/>
      <c r="G129" s="431"/>
      <c r="H129" s="431"/>
    </row>
    <row r="130" spans="1:9" ht="18.75" x14ac:dyDescent="0.3">
      <c r="A130" s="377"/>
      <c r="B130" s="377"/>
      <c r="C130" s="378"/>
      <c r="D130" s="378"/>
      <c r="E130" s="378"/>
      <c r="F130" s="381"/>
      <c r="G130" s="378"/>
      <c r="H130" s="378"/>
      <c r="I130" s="285"/>
    </row>
    <row r="131" spans="1:9" ht="18.75" x14ac:dyDescent="0.3">
      <c r="A131" s="377"/>
      <c r="B131" s="377"/>
      <c r="C131" s="378"/>
      <c r="D131" s="378"/>
      <c r="E131" s="378"/>
      <c r="F131" s="381"/>
      <c r="G131" s="378"/>
      <c r="H131" s="378"/>
      <c r="I131" s="285"/>
    </row>
    <row r="132" spans="1:9" ht="18.75" x14ac:dyDescent="0.3">
      <c r="A132" s="377"/>
      <c r="B132" s="377"/>
      <c r="C132" s="378"/>
      <c r="D132" s="378"/>
      <c r="E132" s="378"/>
      <c r="F132" s="381"/>
      <c r="G132" s="378"/>
      <c r="H132" s="378"/>
      <c r="I132" s="285"/>
    </row>
    <row r="133" spans="1:9" ht="18.75" x14ac:dyDescent="0.3">
      <c r="A133" s="377"/>
      <c r="B133" s="377"/>
      <c r="C133" s="378"/>
      <c r="D133" s="378"/>
      <c r="E133" s="378"/>
      <c r="F133" s="381"/>
      <c r="G133" s="378"/>
      <c r="H133" s="378"/>
      <c r="I133" s="285"/>
    </row>
    <row r="134" spans="1:9" ht="18.75" x14ac:dyDescent="0.3">
      <c r="A134" s="377"/>
      <c r="B134" s="377"/>
      <c r="C134" s="378"/>
      <c r="D134" s="378"/>
      <c r="E134" s="378"/>
      <c r="F134" s="381"/>
      <c r="G134" s="378"/>
      <c r="H134" s="378"/>
      <c r="I134" s="285"/>
    </row>
    <row r="135" spans="1:9" ht="18.75" x14ac:dyDescent="0.3">
      <c r="A135" s="377"/>
      <c r="B135" s="377"/>
      <c r="C135" s="378"/>
      <c r="D135" s="378"/>
      <c r="E135" s="378"/>
      <c r="F135" s="381"/>
      <c r="G135" s="378"/>
      <c r="H135" s="378"/>
      <c r="I135" s="285"/>
    </row>
    <row r="136" spans="1:9" ht="18.75" x14ac:dyDescent="0.3">
      <c r="A136" s="377"/>
      <c r="B136" s="377"/>
      <c r="C136" s="378"/>
      <c r="D136" s="378"/>
      <c r="E136" s="378"/>
      <c r="F136" s="381"/>
      <c r="G136" s="378"/>
      <c r="H136" s="378"/>
      <c r="I136" s="285"/>
    </row>
    <row r="137" spans="1:9" ht="18.75" x14ac:dyDescent="0.3">
      <c r="A137" s="377"/>
      <c r="B137" s="377"/>
      <c r="C137" s="378"/>
      <c r="D137" s="378"/>
      <c r="E137" s="378"/>
      <c r="F137" s="381"/>
      <c r="G137" s="378"/>
      <c r="H137" s="378"/>
      <c r="I137" s="285"/>
    </row>
    <row r="138" spans="1:9" ht="18.75" x14ac:dyDescent="0.3">
      <c r="A138" s="377"/>
      <c r="B138" s="377"/>
      <c r="C138" s="378"/>
      <c r="D138" s="378"/>
      <c r="E138" s="378"/>
      <c r="F138" s="381"/>
      <c r="G138" s="378"/>
      <c r="H138" s="378"/>
      <c r="I138" s="285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I39:I40"/>
    <mergeCell ref="A46:B47"/>
    <mergeCell ref="C60:C63"/>
    <mergeCell ref="D60:D63"/>
    <mergeCell ref="C64:C67"/>
    <mergeCell ref="D64:D67"/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20" workbookViewId="0">
      <selection activeCell="C42" sqref="C42"/>
    </sheetView>
  </sheetViews>
  <sheetFormatPr defaultRowHeight="13.5" x14ac:dyDescent="0.25"/>
  <cols>
    <col min="1" max="1" width="27.5703125" style="407" customWidth="1"/>
    <col min="2" max="2" width="20.42578125" style="407" customWidth="1"/>
    <col min="3" max="3" width="31.85546875" style="407" customWidth="1"/>
    <col min="4" max="4" width="25.85546875" style="407" customWidth="1"/>
    <col min="5" max="5" width="25.7109375" style="407" customWidth="1"/>
    <col min="6" max="6" width="23.140625" style="407" customWidth="1"/>
    <col min="7" max="7" width="28.42578125" style="407" customWidth="1"/>
    <col min="8" max="8" width="21.5703125" style="407" customWidth="1"/>
    <col min="9" max="9" width="9.140625" style="407" customWidth="1"/>
    <col min="10" max="16384" width="9.140625" style="44"/>
  </cols>
  <sheetData>
    <row r="14" spans="1:6" ht="15" customHeight="1" x14ac:dyDescent="0.3">
      <c r="A14" s="1"/>
      <c r="C14" s="3"/>
      <c r="F14" s="3"/>
    </row>
    <row r="15" spans="1:6" ht="18.75" customHeight="1" x14ac:dyDescent="0.3">
      <c r="A15" s="472" t="s">
        <v>0</v>
      </c>
      <c r="B15" s="472"/>
      <c r="C15" s="472"/>
      <c r="D15" s="472"/>
      <c r="E15" s="472"/>
    </row>
    <row r="16" spans="1:6" ht="16.5" customHeight="1" x14ac:dyDescent="0.3">
      <c r="A16" s="90" t="s">
        <v>1</v>
      </c>
      <c r="B16" s="59" t="s">
        <v>2</v>
      </c>
    </row>
    <row r="17" spans="1:5" ht="16.5" customHeight="1" x14ac:dyDescent="0.3">
      <c r="A17" s="8" t="s">
        <v>3</v>
      </c>
      <c r="B17" s="8" t="s">
        <v>5</v>
      </c>
      <c r="D17" s="9"/>
      <c r="E17" s="72"/>
    </row>
    <row r="18" spans="1:5" ht="16.5" customHeight="1" x14ac:dyDescent="0.3">
      <c r="A18" s="75" t="s">
        <v>4</v>
      </c>
      <c r="B18" s="407" t="s">
        <v>132</v>
      </c>
      <c r="C18" s="72"/>
      <c r="D18" s="72"/>
      <c r="E18" s="72"/>
    </row>
    <row r="19" spans="1:5" ht="16.5" customHeight="1" x14ac:dyDescent="0.3">
      <c r="A19" s="75" t="s">
        <v>6</v>
      </c>
      <c r="B19" s="12">
        <v>98.8</v>
      </c>
      <c r="C19" s="72"/>
      <c r="D19" s="72"/>
      <c r="E19" s="72"/>
    </row>
    <row r="20" spans="1:5" ht="16.5" customHeight="1" x14ac:dyDescent="0.3">
      <c r="A20" s="8" t="s">
        <v>8</v>
      </c>
      <c r="B20" s="12">
        <v>14.25</v>
      </c>
      <c r="C20" s="72"/>
      <c r="D20" s="72"/>
      <c r="E20" s="72"/>
    </row>
    <row r="21" spans="1:5" ht="16.5" customHeight="1" x14ac:dyDescent="0.3">
      <c r="A21" s="8" t="s">
        <v>10</v>
      </c>
      <c r="B21" s="13">
        <f>B20/50*10/25</f>
        <v>0.11399999999999999</v>
      </c>
      <c r="C21" s="72"/>
      <c r="D21" s="72"/>
      <c r="E21" s="72"/>
    </row>
    <row r="22" spans="1:5" ht="15.75" customHeight="1" x14ac:dyDescent="0.25">
      <c r="A22" s="72"/>
      <c r="B22" s="72" t="s">
        <v>12</v>
      </c>
      <c r="C22" s="72"/>
      <c r="D22" s="72"/>
      <c r="E22" s="72"/>
    </row>
    <row r="23" spans="1:5" ht="16.5" customHeight="1" x14ac:dyDescent="0.3">
      <c r="A23" s="16" t="s">
        <v>13</v>
      </c>
      <c r="B23" s="15" t="s">
        <v>14</v>
      </c>
      <c r="C23" s="16" t="s">
        <v>15</v>
      </c>
      <c r="D23" s="16" t="s">
        <v>16</v>
      </c>
      <c r="E23" s="16" t="s">
        <v>17</v>
      </c>
    </row>
    <row r="24" spans="1:5" ht="16.5" customHeight="1" x14ac:dyDescent="0.3">
      <c r="A24" s="17">
        <v>1</v>
      </c>
      <c r="B24" s="18">
        <v>12161426</v>
      </c>
      <c r="C24" s="18">
        <v>621984.80000000005</v>
      </c>
      <c r="D24" s="19">
        <v>1.1000000000000001</v>
      </c>
      <c r="E24" s="20">
        <v>24.6</v>
      </c>
    </row>
    <row r="25" spans="1:5" ht="16.5" customHeight="1" x14ac:dyDescent="0.3">
      <c r="A25" s="17">
        <v>2</v>
      </c>
      <c r="B25" s="18">
        <v>12134520</v>
      </c>
      <c r="C25" s="18">
        <v>626626.9</v>
      </c>
      <c r="D25" s="19">
        <v>1.1000000000000001</v>
      </c>
      <c r="E25" s="19">
        <v>24.6</v>
      </c>
    </row>
    <row r="26" spans="1:5" ht="16.5" customHeight="1" x14ac:dyDescent="0.3">
      <c r="A26" s="17">
        <v>3</v>
      </c>
      <c r="B26" s="18">
        <v>12005492</v>
      </c>
      <c r="C26" s="18">
        <v>636969.1</v>
      </c>
      <c r="D26" s="19">
        <v>1.1000000000000001</v>
      </c>
      <c r="E26" s="19">
        <v>24.6</v>
      </c>
    </row>
    <row r="27" spans="1:5" ht="16.5" customHeight="1" x14ac:dyDescent="0.3">
      <c r="A27" s="17">
        <v>4</v>
      </c>
      <c r="B27" s="18">
        <v>12142659</v>
      </c>
      <c r="C27" s="18">
        <v>643714.5</v>
      </c>
      <c r="D27" s="19">
        <v>1.1000000000000001</v>
      </c>
      <c r="E27" s="19">
        <v>24.6</v>
      </c>
    </row>
    <row r="28" spans="1:5" ht="16.5" customHeight="1" x14ac:dyDescent="0.3">
      <c r="A28" s="17">
        <v>5</v>
      </c>
      <c r="B28" s="18">
        <v>11986395</v>
      </c>
      <c r="C28" s="18">
        <v>645851.19999999995</v>
      </c>
      <c r="D28" s="19">
        <v>1.1000000000000001</v>
      </c>
      <c r="E28" s="19">
        <v>24.6</v>
      </c>
    </row>
    <row r="29" spans="1:5" ht="16.5" customHeight="1" x14ac:dyDescent="0.3">
      <c r="A29" s="17">
        <v>6</v>
      </c>
      <c r="B29" s="21">
        <v>12238309</v>
      </c>
      <c r="C29" s="21">
        <v>650481.1</v>
      </c>
      <c r="D29" s="22">
        <v>1.1000000000000001</v>
      </c>
      <c r="E29" s="22">
        <v>24.6</v>
      </c>
    </row>
    <row r="30" spans="1:5" ht="16.5" customHeight="1" x14ac:dyDescent="0.3">
      <c r="A30" s="23" t="s">
        <v>18</v>
      </c>
      <c r="B30" s="24">
        <f>AVERAGE(B24:B29)</f>
        <v>12111466.833333334</v>
      </c>
      <c r="C30" s="25">
        <f>AVERAGE(C24:C29)</f>
        <v>637604.6</v>
      </c>
      <c r="D30" s="26">
        <f>AVERAGE(D24:D29)</f>
        <v>1.0999999999999999</v>
      </c>
      <c r="E30" s="26">
        <f>AVERAGE(E24:E29)</f>
        <v>24.599999999999998</v>
      </c>
    </row>
    <row r="31" spans="1:5" ht="16.5" customHeight="1" x14ac:dyDescent="0.3">
      <c r="A31" s="27" t="s">
        <v>19</v>
      </c>
      <c r="B31" s="28">
        <f>(STDEV(B24:B29)/B30)</f>
        <v>8.0019461521337893E-3</v>
      </c>
      <c r="C31" s="29"/>
      <c r="D31" s="29"/>
      <c r="E31" s="30"/>
    </row>
    <row r="32" spans="1:5" s="407" customFormat="1" ht="16.5" customHeight="1" x14ac:dyDescent="0.3">
      <c r="A32" s="31" t="s">
        <v>20</v>
      </c>
      <c r="B32" s="32">
        <f>COUNT(B24:B29)</f>
        <v>6</v>
      </c>
      <c r="C32" s="33"/>
      <c r="D32" s="73"/>
      <c r="E32" s="35"/>
    </row>
    <row r="33" spans="1:5" s="407" customFormat="1" ht="15.75" customHeight="1" x14ac:dyDescent="0.25">
      <c r="A33" s="72"/>
      <c r="B33" s="72"/>
      <c r="C33" s="72"/>
      <c r="D33" s="72"/>
      <c r="E33" s="72"/>
    </row>
    <row r="34" spans="1:5" s="407" customFormat="1" ht="16.5" customHeight="1" x14ac:dyDescent="0.3">
      <c r="A34" s="75" t="s">
        <v>21</v>
      </c>
      <c r="B34" s="40" t="s">
        <v>22</v>
      </c>
      <c r="C34" s="39"/>
      <c r="D34" s="39"/>
      <c r="E34" s="39"/>
    </row>
    <row r="35" spans="1:5" ht="16.5" customHeight="1" x14ac:dyDescent="0.3">
      <c r="A35" s="75"/>
      <c r="B35" s="40" t="s">
        <v>23</v>
      </c>
      <c r="C35" s="39"/>
      <c r="D35" s="39"/>
      <c r="E35" s="39"/>
    </row>
    <row r="36" spans="1:5" ht="16.5" customHeight="1" x14ac:dyDescent="0.3">
      <c r="A36" s="75"/>
      <c r="B36" s="40" t="s">
        <v>24</v>
      </c>
      <c r="C36" s="39"/>
      <c r="D36" s="39"/>
      <c r="E36" s="39"/>
    </row>
    <row r="37" spans="1:5" ht="15.75" customHeight="1" x14ac:dyDescent="0.25">
      <c r="A37" s="72"/>
      <c r="B37" s="72"/>
      <c r="C37" s="72"/>
      <c r="D37" s="72"/>
      <c r="E37" s="72"/>
    </row>
    <row r="38" spans="1:5" ht="16.5" customHeight="1" x14ac:dyDescent="0.3">
      <c r="A38" s="90" t="s">
        <v>1</v>
      </c>
      <c r="B38" s="59" t="s">
        <v>25</v>
      </c>
    </row>
    <row r="39" spans="1:5" ht="16.5" customHeight="1" x14ac:dyDescent="0.3">
      <c r="A39" s="75" t="s">
        <v>4</v>
      </c>
      <c r="B39" s="8" t="s">
        <v>132</v>
      </c>
      <c r="C39" s="72"/>
      <c r="D39" s="72"/>
      <c r="E39" s="72"/>
    </row>
    <row r="40" spans="1:5" ht="16.5" customHeight="1" x14ac:dyDescent="0.3">
      <c r="A40" s="75" t="s">
        <v>6</v>
      </c>
      <c r="B40" s="12">
        <v>98.8</v>
      </c>
      <c r="C40" s="72"/>
      <c r="D40" s="72"/>
      <c r="E40" s="72"/>
    </row>
    <row r="41" spans="1:5" ht="16.5" customHeight="1" x14ac:dyDescent="0.3">
      <c r="A41" s="8" t="s">
        <v>8</v>
      </c>
      <c r="B41" s="12">
        <v>16.809999999999999</v>
      </c>
      <c r="C41" s="72"/>
      <c r="D41" s="72"/>
      <c r="E41" s="72"/>
    </row>
    <row r="42" spans="1:5" ht="16.5" customHeight="1" x14ac:dyDescent="0.3">
      <c r="A42" s="8" t="s">
        <v>10</v>
      </c>
      <c r="B42" s="13">
        <f>B41/50</f>
        <v>0.3362</v>
      </c>
      <c r="C42" s="72"/>
      <c r="D42" s="72"/>
      <c r="E42" s="72"/>
    </row>
    <row r="43" spans="1:5" ht="15.75" customHeight="1" x14ac:dyDescent="0.25">
      <c r="A43" s="72"/>
      <c r="B43" s="72"/>
      <c r="C43" s="72"/>
      <c r="D43" s="72"/>
      <c r="E43" s="72"/>
    </row>
    <row r="44" spans="1:5" ht="16.5" customHeight="1" x14ac:dyDescent="0.3">
      <c r="A44" s="16" t="s">
        <v>13</v>
      </c>
      <c r="B44" s="15" t="s">
        <v>14</v>
      </c>
      <c r="C44" s="16" t="s">
        <v>15</v>
      </c>
      <c r="D44" s="16" t="s">
        <v>16</v>
      </c>
      <c r="E44" s="16" t="s">
        <v>17</v>
      </c>
    </row>
    <row r="45" spans="1:5" ht="16.5" customHeight="1" x14ac:dyDescent="0.3">
      <c r="A45" s="17">
        <v>1</v>
      </c>
      <c r="B45" s="18">
        <v>32220347</v>
      </c>
      <c r="C45" s="18">
        <v>55271.1</v>
      </c>
      <c r="D45" s="19">
        <v>1</v>
      </c>
      <c r="E45" s="20">
        <v>16.3</v>
      </c>
    </row>
    <row r="46" spans="1:5" ht="16.5" customHeight="1" x14ac:dyDescent="0.3">
      <c r="A46" s="17">
        <v>2</v>
      </c>
      <c r="B46" s="18">
        <v>32796925</v>
      </c>
      <c r="C46" s="18">
        <v>55190.1</v>
      </c>
      <c r="D46" s="19">
        <v>1</v>
      </c>
      <c r="E46" s="19">
        <v>16.3</v>
      </c>
    </row>
    <row r="47" spans="1:5" ht="16.5" customHeight="1" x14ac:dyDescent="0.3">
      <c r="A47" s="17">
        <v>3</v>
      </c>
      <c r="B47" s="18">
        <v>32847628</v>
      </c>
      <c r="C47" s="18">
        <v>55325.4</v>
      </c>
      <c r="D47" s="19">
        <v>1</v>
      </c>
      <c r="E47" s="19">
        <v>16.3</v>
      </c>
    </row>
    <row r="48" spans="1:5" ht="16.5" customHeight="1" x14ac:dyDescent="0.3">
      <c r="A48" s="17">
        <v>4</v>
      </c>
      <c r="B48" s="18">
        <v>32162485</v>
      </c>
      <c r="C48" s="18">
        <v>55424.5</v>
      </c>
      <c r="D48" s="19">
        <v>1</v>
      </c>
      <c r="E48" s="19">
        <v>16.3</v>
      </c>
    </row>
    <row r="49" spans="1:7" ht="16.5" customHeight="1" x14ac:dyDescent="0.3">
      <c r="A49" s="17">
        <v>5</v>
      </c>
      <c r="B49" s="18">
        <v>32895864</v>
      </c>
      <c r="C49" s="18">
        <v>55251.4</v>
      </c>
      <c r="D49" s="19">
        <v>1</v>
      </c>
      <c r="E49" s="19">
        <v>16.3</v>
      </c>
    </row>
    <row r="50" spans="1:7" ht="16.5" customHeight="1" x14ac:dyDescent="0.3">
      <c r="A50" s="17">
        <v>6</v>
      </c>
      <c r="B50" s="21">
        <v>32700864</v>
      </c>
      <c r="C50" s="21">
        <v>55638.2</v>
      </c>
      <c r="D50" s="22">
        <v>1</v>
      </c>
      <c r="E50" s="22">
        <v>16.3</v>
      </c>
    </row>
    <row r="51" spans="1:7" ht="16.5" customHeight="1" x14ac:dyDescent="0.3">
      <c r="A51" s="23" t="s">
        <v>18</v>
      </c>
      <c r="B51" s="24">
        <f>AVERAGE(B45:B50)</f>
        <v>32604018.833333332</v>
      </c>
      <c r="C51" s="25">
        <f>AVERAGE(C45:C50)</f>
        <v>55350.116666666669</v>
      </c>
      <c r="D51" s="26">
        <f>AVERAGE(D45:D50)</f>
        <v>1</v>
      </c>
      <c r="E51" s="26">
        <f>AVERAGE(E45:E50)</f>
        <v>16.3</v>
      </c>
    </row>
    <row r="52" spans="1:7" ht="16.5" customHeight="1" x14ac:dyDescent="0.3">
      <c r="A52" s="27" t="s">
        <v>19</v>
      </c>
      <c r="B52" s="28">
        <f>(STDEV(B45:B50)/B51)</f>
        <v>1.0016505156511814E-2</v>
      </c>
      <c r="C52" s="29"/>
      <c r="D52" s="29"/>
      <c r="E52" s="30"/>
    </row>
    <row r="53" spans="1:7" s="407" customFormat="1" ht="16.5" customHeight="1" x14ac:dyDescent="0.3">
      <c r="A53" s="31" t="s">
        <v>20</v>
      </c>
      <c r="B53" s="32">
        <f>COUNT(B45:B50)</f>
        <v>6</v>
      </c>
      <c r="C53" s="33"/>
      <c r="D53" s="73"/>
      <c r="E53" s="35"/>
    </row>
    <row r="54" spans="1:7" s="407" customFormat="1" ht="15.75" customHeight="1" x14ac:dyDescent="0.25">
      <c r="A54" s="72"/>
      <c r="B54" s="72"/>
      <c r="C54" s="72"/>
      <c r="D54" s="72"/>
      <c r="E54" s="72"/>
    </row>
    <row r="55" spans="1:7" s="407" customFormat="1" ht="16.5" customHeight="1" x14ac:dyDescent="0.3">
      <c r="A55" s="75" t="s">
        <v>21</v>
      </c>
      <c r="B55" s="40" t="s">
        <v>22</v>
      </c>
      <c r="C55" s="39"/>
      <c r="D55" s="39"/>
      <c r="E55" s="39"/>
    </row>
    <row r="56" spans="1:7" ht="16.5" customHeight="1" x14ac:dyDescent="0.3">
      <c r="A56" s="75"/>
      <c r="B56" s="40" t="s">
        <v>23</v>
      </c>
      <c r="C56" s="39"/>
      <c r="D56" s="39"/>
      <c r="E56" s="39"/>
    </row>
    <row r="57" spans="1:7" ht="16.5" customHeight="1" x14ac:dyDescent="0.3">
      <c r="A57" s="75"/>
      <c r="B57" s="40" t="s">
        <v>24</v>
      </c>
      <c r="C57" s="39"/>
      <c r="D57" s="39"/>
      <c r="E57" s="39"/>
    </row>
    <row r="58" spans="1:7" ht="14.25" customHeight="1" thickBot="1" x14ac:dyDescent="0.3">
      <c r="A58" s="41"/>
      <c r="B58" s="337"/>
      <c r="D58" s="43"/>
      <c r="F58" s="44"/>
      <c r="G58" s="44"/>
    </row>
    <row r="59" spans="1:7" ht="15" customHeight="1" x14ac:dyDescent="0.3">
      <c r="B59" s="473" t="s">
        <v>26</v>
      </c>
      <c r="C59" s="473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9"/>
      <c r="C60" s="49"/>
      <c r="E60" s="49"/>
      <c r="G60" s="49"/>
    </row>
    <row r="61" spans="1:7" ht="15" customHeight="1" x14ac:dyDescent="0.3">
      <c r="A61" s="47" t="s">
        <v>30</v>
      </c>
      <c r="B61" s="50"/>
      <c r="C61" s="50"/>
      <c r="E61" s="50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lam sst</vt:lpstr>
      <vt:lpstr>Uniformity</vt:lpstr>
      <vt:lpstr>Lamivudine</vt:lpstr>
      <vt:lpstr>Tenofovir Disoproxil Fumurate</vt:lpstr>
      <vt:lpstr>TDF SST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Sarah Muthoni</cp:lastModifiedBy>
  <cp:lastPrinted>2017-02-01T06:44:43Z</cp:lastPrinted>
  <dcterms:created xsi:type="dcterms:W3CDTF">2005-07-05T10:19:27Z</dcterms:created>
  <dcterms:modified xsi:type="dcterms:W3CDTF">2017-02-01T07:12:20Z</dcterms:modified>
</cp:coreProperties>
</file>