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/>
  </bookViews>
  <sheets>
    <sheet name="lam sst" sheetId="10" r:id="rId1"/>
    <sheet name="TDF SST" sheetId="9" r:id="rId2"/>
    <sheet name="Tenofovir Disoproxil Fumurate" sheetId="7" r:id="rId3"/>
    <sheet name="Lamivudine" sheetId="6" r:id="rId4"/>
    <sheet name="Uniformity" sheetId="2" r:id="rId5"/>
  </sheets>
  <externalReferences>
    <externalReference r:id="rId6"/>
  </externalReferences>
  <definedNames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B53" i="10" l="1"/>
  <c r="E51" i="10"/>
  <c r="D51" i="10"/>
  <c r="C51" i="10"/>
  <c r="B51" i="10"/>
  <c r="B52" i="10" s="1"/>
  <c r="B42" i="10"/>
  <c r="B32" i="10"/>
  <c r="E30" i="10"/>
  <c r="D30" i="10"/>
  <c r="C30" i="10"/>
  <c r="B30" i="10"/>
  <c r="B31" i="10" s="1"/>
  <c r="B21" i="10"/>
  <c r="B53" i="9"/>
  <c r="E51" i="9"/>
  <c r="D51" i="9"/>
  <c r="C51" i="9"/>
  <c r="B51" i="9"/>
  <c r="B52" i="9" s="1"/>
  <c r="B42" i="9"/>
  <c r="B32" i="9"/>
  <c r="E30" i="9"/>
  <c r="D30" i="9"/>
  <c r="C30" i="9"/>
  <c r="B30" i="9"/>
  <c r="B31" i="9" s="1"/>
  <c r="B21" i="9"/>
  <c r="D60" i="6" l="1"/>
  <c r="C124" i="7"/>
  <c r="B116" i="7"/>
  <c r="D100" i="7"/>
  <c r="D101" i="7" s="1"/>
  <c r="B98" i="7"/>
  <c r="F95" i="7"/>
  <c r="D95" i="7"/>
  <c r="I92" i="7" s="1"/>
  <c r="G94" i="7"/>
  <c r="E94" i="7"/>
  <c r="B87" i="7"/>
  <c r="F97" i="7" s="1"/>
  <c r="F98" i="7" s="1"/>
  <c r="F99" i="7" s="1"/>
  <c r="B83" i="7"/>
  <c r="B81" i="7"/>
  <c r="B80" i="7"/>
  <c r="B79" i="7"/>
  <c r="C76" i="7"/>
  <c r="H71" i="7"/>
  <c r="G71" i="7"/>
  <c r="B68" i="7"/>
  <c r="H67" i="7"/>
  <c r="G67" i="7"/>
  <c r="H63" i="7"/>
  <c r="G63" i="7"/>
  <c r="B57" i="7"/>
  <c r="G66" i="7" s="1"/>
  <c r="H66" i="7" s="1"/>
  <c r="C56" i="7"/>
  <c r="B55" i="7"/>
  <c r="D48" i="7"/>
  <c r="F45" i="7"/>
  <c r="F46" i="7" s="1"/>
  <c r="B45" i="7"/>
  <c r="F44" i="7"/>
  <c r="D44" i="7"/>
  <c r="D45" i="7" s="1"/>
  <c r="F42" i="7"/>
  <c r="D42" i="7"/>
  <c r="G41" i="7"/>
  <c r="E41" i="7"/>
  <c r="I39" i="7"/>
  <c r="G38" i="7"/>
  <c r="B34" i="7"/>
  <c r="B30" i="7"/>
  <c r="C124" i="6"/>
  <c r="B116" i="6"/>
  <c r="D100" i="6"/>
  <c r="D101" i="6" s="1"/>
  <c r="B98" i="6"/>
  <c r="F97" i="6"/>
  <c r="F95" i="6"/>
  <c r="D95" i="6"/>
  <c r="G94" i="6"/>
  <c r="E94" i="6"/>
  <c r="B87" i="6"/>
  <c r="D97" i="6" s="1"/>
  <c r="B81" i="6"/>
  <c r="B83" i="6" s="1"/>
  <c r="B80" i="6"/>
  <c r="B79" i="6"/>
  <c r="C76" i="6"/>
  <c r="H71" i="6"/>
  <c r="G71" i="6"/>
  <c r="B68" i="6"/>
  <c r="H67" i="6"/>
  <c r="G67" i="6"/>
  <c r="H63" i="6"/>
  <c r="G63" i="6"/>
  <c r="B57" i="6"/>
  <c r="B69" i="6" s="1"/>
  <c r="C56" i="6"/>
  <c r="B55" i="6"/>
  <c r="B45" i="6"/>
  <c r="D48" i="6" s="1"/>
  <c r="F44" i="6"/>
  <c r="D44" i="6"/>
  <c r="F42" i="6"/>
  <c r="D42" i="6"/>
  <c r="I39" i="6" s="1"/>
  <c r="G41" i="6"/>
  <c r="E41" i="6"/>
  <c r="B34" i="6"/>
  <c r="B30" i="6"/>
  <c r="F45" i="6" s="1"/>
  <c r="F46" i="6" s="1"/>
  <c r="C46" i="2"/>
  <c r="C45" i="2"/>
  <c r="C19" i="2"/>
  <c r="I92" i="6" l="1"/>
  <c r="D45" i="6"/>
  <c r="D46" i="6" s="1"/>
  <c r="D98" i="6"/>
  <c r="D99" i="6" s="1"/>
  <c r="F98" i="6"/>
  <c r="F99" i="6" s="1"/>
  <c r="G64" i="7"/>
  <c r="H64" i="7" s="1"/>
  <c r="G65" i="7"/>
  <c r="H65" i="7" s="1"/>
  <c r="B69" i="7"/>
  <c r="E40" i="7"/>
  <c r="E38" i="7"/>
  <c r="D46" i="7"/>
  <c r="E39" i="7"/>
  <c r="G92" i="7"/>
  <c r="D102" i="7"/>
  <c r="G93" i="7"/>
  <c r="E93" i="7"/>
  <c r="G91" i="7"/>
  <c r="D49" i="7"/>
  <c r="G40" i="7"/>
  <c r="G39" i="7"/>
  <c r="G42" i="7" s="1"/>
  <c r="D97" i="7"/>
  <c r="D98" i="7" s="1"/>
  <c r="D99" i="7" s="1"/>
  <c r="E40" i="6"/>
  <c r="G38" i="6"/>
  <c r="E38" i="6"/>
  <c r="G39" i="6"/>
  <c r="G40" i="6"/>
  <c r="D49" i="6"/>
  <c r="D102" i="6"/>
  <c r="G91" i="6"/>
  <c r="D25" i="2"/>
  <c r="D37" i="2"/>
  <c r="D27" i="2"/>
  <c r="D31" i="2"/>
  <c r="D35" i="2"/>
  <c r="D39" i="2"/>
  <c r="D43" i="2"/>
  <c r="C49" i="2"/>
  <c r="D33" i="2"/>
  <c r="D24" i="2"/>
  <c r="D28" i="2"/>
  <c r="D32" i="2"/>
  <c r="D36" i="2"/>
  <c r="D40" i="2"/>
  <c r="D49" i="2"/>
  <c r="D29" i="2"/>
  <c r="D41" i="2"/>
  <c r="C50" i="2"/>
  <c r="D26" i="2"/>
  <c r="D30" i="2"/>
  <c r="D34" i="2"/>
  <c r="D38" i="2"/>
  <c r="D42" i="2"/>
  <c r="B49" i="2"/>
  <c r="D50" i="2"/>
  <c r="E91" i="7" l="1"/>
  <c r="E95" i="7" s="1"/>
  <c r="E93" i="6"/>
  <c r="G92" i="6"/>
  <c r="G95" i="6" s="1"/>
  <c r="E92" i="6"/>
  <c r="E95" i="6" s="1"/>
  <c r="G42" i="6"/>
  <c r="E91" i="6"/>
  <c r="G93" i="6"/>
  <c r="E39" i="6"/>
  <c r="E42" i="6" s="1"/>
  <c r="D103" i="7"/>
  <c r="G95" i="7"/>
  <c r="D50" i="7"/>
  <c r="D52" i="7"/>
  <c r="E42" i="7"/>
  <c r="E92" i="7"/>
  <c r="D50" i="6"/>
  <c r="D105" i="7" l="1"/>
  <c r="D103" i="6"/>
  <c r="E108" i="6" s="1"/>
  <c r="G65" i="6"/>
  <c r="H65" i="6" s="1"/>
  <c r="G66" i="6"/>
  <c r="H66" i="6" s="1"/>
  <c r="G64" i="6"/>
  <c r="H64" i="6" s="1"/>
  <c r="D52" i="6"/>
  <c r="D105" i="6"/>
  <c r="G70" i="7"/>
  <c r="H70" i="7" s="1"/>
  <c r="G60" i="7"/>
  <c r="G68" i="7"/>
  <c r="H68" i="7" s="1"/>
  <c r="G69" i="7"/>
  <c r="H69" i="7" s="1"/>
  <c r="G61" i="7"/>
  <c r="H61" i="7" s="1"/>
  <c r="D51" i="7"/>
  <c r="G62" i="7"/>
  <c r="H62" i="7" s="1"/>
  <c r="E113" i="7"/>
  <c r="F113" i="7" s="1"/>
  <c r="E111" i="7"/>
  <c r="F111" i="7" s="1"/>
  <c r="E109" i="7"/>
  <c r="F109" i="7" s="1"/>
  <c r="D104" i="7"/>
  <c r="E112" i="7"/>
  <c r="F112" i="7" s="1"/>
  <c r="E110" i="7"/>
  <c r="F110" i="7" s="1"/>
  <c r="E108" i="7"/>
  <c r="G70" i="6"/>
  <c r="H70" i="6" s="1"/>
  <c r="G61" i="6"/>
  <c r="H61" i="6" s="1"/>
  <c r="G69" i="6"/>
  <c r="H69" i="6" s="1"/>
  <c r="G62" i="6"/>
  <c r="H62" i="6" s="1"/>
  <c r="G60" i="6"/>
  <c r="D51" i="6"/>
  <c r="G68" i="6"/>
  <c r="H68" i="6" s="1"/>
  <c r="E113" i="6"/>
  <c r="F113" i="6" s="1"/>
  <c r="E109" i="6"/>
  <c r="F109" i="6" s="1"/>
  <c r="D104" i="6"/>
  <c r="E110" i="6" l="1"/>
  <c r="F110" i="6" s="1"/>
  <c r="E111" i="6"/>
  <c r="F111" i="6" s="1"/>
  <c r="E112" i="6"/>
  <c r="F112" i="6" s="1"/>
  <c r="E120" i="7"/>
  <c r="E117" i="7"/>
  <c r="F108" i="7"/>
  <c r="E115" i="7"/>
  <c r="E116" i="7" s="1"/>
  <c r="E119" i="7"/>
  <c r="G74" i="7"/>
  <c r="G72" i="7"/>
  <c r="G73" i="7" s="1"/>
  <c r="H60" i="7"/>
  <c r="F108" i="6"/>
  <c r="H60" i="6"/>
  <c r="G74" i="6"/>
  <c r="G72" i="6"/>
  <c r="G73" i="6" s="1"/>
  <c r="E119" i="6" l="1"/>
  <c r="E117" i="6"/>
  <c r="E120" i="6"/>
  <c r="E115" i="6"/>
  <c r="E116" i="6" s="1"/>
  <c r="F125" i="7"/>
  <c r="F120" i="7"/>
  <c r="F117" i="7"/>
  <c r="D125" i="7"/>
  <c r="F115" i="7"/>
  <c r="F119" i="7"/>
  <c r="H74" i="7"/>
  <c r="H72" i="7"/>
  <c r="D125" i="6"/>
  <c r="F115" i="6"/>
  <c r="F119" i="6"/>
  <c r="F125" i="6"/>
  <c r="F120" i="6"/>
  <c r="F117" i="6"/>
  <c r="H74" i="6"/>
  <c r="H72" i="6"/>
  <c r="G124" i="7" l="1"/>
  <c r="F116" i="7"/>
  <c r="G76" i="7"/>
  <c r="H73" i="7"/>
  <c r="G124" i="6"/>
  <c r="F116" i="6"/>
  <c r="G76" i="6"/>
  <c r="H73" i="6"/>
</calcChain>
</file>

<file path=xl/sharedStrings.xml><?xml version="1.0" encoding="utf-8"?>
<sst xmlns="http://schemas.openxmlformats.org/spreadsheetml/2006/main" count="454" uniqueCount="140">
  <si>
    <t>HPLC System Suitability Report</t>
  </si>
  <si>
    <t>Analysis Data</t>
  </si>
  <si>
    <t>Assay</t>
  </si>
  <si>
    <t>Sample(s)</t>
  </si>
  <si>
    <t>Reference Substance:</t>
  </si>
  <si>
    <t>LAMIVUDINE  300 MG AND TENOFOVIR DISOPROXIL FUMARATE 300 MG TABLETS</t>
  </si>
  <si>
    <t>% age Purity:</t>
  </si>
  <si>
    <t>NDQB201701314</t>
  </si>
  <si>
    <t>Weight (mg):</t>
  </si>
  <si>
    <t>Lamivudine and Tenofovir Disoproxil Fumarate</t>
  </si>
  <si>
    <t>Standard Conc (mg/mL):</t>
  </si>
  <si>
    <t>Each film coated tablet contains: Tenofovir disoproxil fumarate 300 mg equivalent to  Tenofovir disoproxil 245 mg and Lamivudine USP 300 mg.</t>
  </si>
  <si>
    <t>2017-01-11 08:02:25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</si>
  <si>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</si>
  <si>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</si>
  <si>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</si>
  <si>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</si>
  <si>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</si>
  <si>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</si>
  <si>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</si>
  <si>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</si>
  <si>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</si>
  <si>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</si>
  <si>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</si>
  <si>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</si>
  <si>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</si>
  <si>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</si>
  <si>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</si>
  <si>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</si>
  <si>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</si>
  <si>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</si>
  <si>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</si>
  <si>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</si>
  <si>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</si>
  <si>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</si>
  <si>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</si>
  <si>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</si>
  <si>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</si>
  <si>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</si>
  <si>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</si>
  <si>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</si>
  <si>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</si>
  <si>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</si>
  <si>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</si>
  <si>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</si>
  <si>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</si>
  <si>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</si>
  <si>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</si>
  <si>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</si>
  <si>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</si>
  <si>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</si>
  <si>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</si>
  <si>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</si>
  <si>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</si>
  <si>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</si>
  <si>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</si>
  <si>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</si>
  <si>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</si>
  <si>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</si>
  <si>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</si>
  <si>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</si>
  <si>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</si>
  <si>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</si>
  <si>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</si>
  <si>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</si>
  <si>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</si>
  <si>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</si>
  <si>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</si>
  <si>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</si>
  <si>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</si>
  <si>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</si>
  <si>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</si>
  <si>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</si>
  <si>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</si>
  <si>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</si>
  <si>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</si>
  <si>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</si>
  <si>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</si>
  <si>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</si>
  <si>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</si>
  <si>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</si>
  <si>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</si>
  <si>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</si>
  <si>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</si>
  <si>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</si>
  <si>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</si>
  <si>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</si>
  <si>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</si>
  <si>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</si>
  <si>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</si>
  <si>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</si>
  <si>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</si>
  <si>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</si>
  <si>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</si>
  <si>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</si>
  <si>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</si>
  <si>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</si>
  <si>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</si>
  <si>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</si>
  <si>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</si>
  <si>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</si>
  <si>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</si>
  <si>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</si>
  <si>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</si>
  <si>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</si>
  <si>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</si>
  <si>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</si>
  <si>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</si>
  <si>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</si>
  <si>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</si>
  <si>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</si>
  <si>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</si>
  <si>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</si>
  <si>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</si>
  <si>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</si>
  <si>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</si>
  <si>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</si>
  <si>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</si>
  <si>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</si>
  <si>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</si>
  <si>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</si>
  <si>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</si>
  <si>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</si>
  <si>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</si>
  <si>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</si>
  <si>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</si>
  <si>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</si>
  <si>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</si>
  <si>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</si>
  <si>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</si>
  <si>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</si>
  <si>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 300 MG AND TENOFOVIR DISOPROXIL FUMARATE 300 MG TABLETS</t>
  </si>
  <si>
    <t>Lamivudine</t>
  </si>
  <si>
    <t>2017-01-11 07:53:13</t>
  </si>
  <si>
    <t>NDQB201701313</t>
  </si>
  <si>
    <t>Each film coated tablet contains: Tenofovir Disoproxil Fumarate 300 mg equivalent to Tenofovir Disoproxil 245 mg and Lamivudine USP 300 mg.</t>
  </si>
  <si>
    <t>Tenofovir Disoproxil Fumurate</t>
  </si>
  <si>
    <t>T11-8</t>
  </si>
  <si>
    <t>TDF</t>
  </si>
  <si>
    <t>L42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</si>
</sst>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</cellStyleXfs>
  <cellXfs count="560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25" fillId="2" borderId="0" xfId="2" applyFill="1"/>
    <xf numFmtId="0" fontId="11" fillId="2" borderId="0" xfId="2" applyFont="1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" fillId="2" borderId="0" xfId="3" applyFont="1" applyFill="1"/>
    <xf numFmtId="0" fontId="25" fillId="2" borderId="0" xfId="3" applyFill="1"/>
    <xf numFmtId="0" fontId="11" fillId="2" borderId="0" xfId="3" applyFont="1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73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73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43" xfId="3" applyNumberFormat="1" applyFont="1" applyFill="1" applyBorder="1" applyAlignment="1">
      <alignment horizontal="center"/>
    </xf>
    <xf numFmtId="173" fontId="11" fillId="2" borderId="15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73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4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1" fontId="13" fillId="3" borderId="13" xfId="3" applyNumberFormat="1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73" fontId="11" fillId="2" borderId="22" xfId="3" applyNumberFormat="1" applyFont="1" applyFill="1" applyBorder="1" applyAlignment="1">
      <alignment horizontal="center"/>
    </xf>
    <xf numFmtId="1" fontId="13" fillId="3" borderId="14" xfId="3" applyNumberFormat="1" applyFont="1" applyFill="1" applyBorder="1" applyAlignment="1" applyProtection="1">
      <alignment horizontal="center"/>
      <protection locked="0"/>
    </xf>
    <xf numFmtId="166" fontId="11" fillId="2" borderId="14" xfId="3" applyNumberFormat="1" applyFont="1" applyFill="1" applyBorder="1" applyAlignment="1">
      <alignment horizontal="center"/>
    </xf>
    <xf numFmtId="173" fontId="11" fillId="2" borderId="24" xfId="3" applyNumberFormat="1" applyFont="1" applyFill="1" applyBorder="1" applyAlignment="1">
      <alignment horizontal="center"/>
    </xf>
    <xf numFmtId="1" fontId="13" fillId="3" borderId="15" xfId="3" applyNumberFormat="1" applyFont="1" applyFill="1" applyBorder="1" applyAlignment="1" applyProtection="1">
      <alignment horizontal="center"/>
      <protection locked="0"/>
    </xf>
    <xf numFmtId="166" fontId="11" fillId="2" borderId="15" xfId="3" applyNumberFormat="1" applyFont="1" applyFill="1" applyBorder="1" applyAlignment="1">
      <alignment horizontal="center"/>
    </xf>
    <xf numFmtId="173" fontId="11" fillId="2" borderId="44" xfId="3" applyNumberFormat="1" applyFont="1" applyFill="1" applyBorder="1" applyAlignment="1">
      <alignment horizontal="center"/>
    </xf>
    <xf numFmtId="0" fontId="11" fillId="2" borderId="23" xfId="3" applyFont="1" applyFill="1" applyBorder="1" applyAlignment="1">
      <alignment horizontal="center"/>
    </xf>
    <xf numFmtId="171" fontId="11" fillId="2" borderId="16" xfId="3" applyNumberFormat="1" applyFont="1" applyFill="1" applyBorder="1" applyAlignment="1">
      <alignment horizontal="right"/>
    </xf>
    <xf numFmtId="2" fontId="13" fillId="7" borderId="55" xfId="3" applyNumberFormat="1" applyFont="1" applyFill="1" applyBorder="1" applyAlignment="1">
      <alignment horizontal="center"/>
    </xf>
    <xf numFmtId="174" fontId="13" fillId="7" borderId="52" xfId="3" applyNumberFormat="1" applyFont="1" applyFill="1" applyBorder="1" applyAlignment="1">
      <alignment horizontal="center"/>
    </xf>
    <xf numFmtId="0" fontId="11" fillId="2" borderId="23" xfId="3" applyFont="1" applyFill="1" applyBorder="1"/>
    <xf numFmtId="0" fontId="11" fillId="2" borderId="14" xfId="3" applyFont="1" applyFill="1" applyBorder="1" applyAlignment="1">
      <alignment horizontal="right"/>
    </xf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3" fillId="7" borderId="28" xfId="3" applyFont="1" applyFill="1" applyBorder="1" applyAlignment="1">
      <alignment horizontal="center"/>
    </xf>
    <xf numFmtId="0" fontId="13" fillId="7" borderId="56" xfId="3" applyFont="1" applyFill="1" applyBorder="1" applyAlignment="1">
      <alignment horizontal="center"/>
    </xf>
    <xf numFmtId="0" fontId="11" fillId="2" borderId="13" xfId="3" applyFont="1" applyFill="1" applyBorder="1"/>
    <xf numFmtId="0" fontId="19" fillId="2" borderId="0" xfId="3" applyFont="1" applyFill="1" applyAlignment="1">
      <alignment horizontal="right" vertical="center" wrapText="1"/>
    </xf>
    <xf numFmtId="2" fontId="13" fillId="6" borderId="54" xfId="3" applyNumberFormat="1" applyFont="1" applyFill="1" applyBorder="1" applyAlignment="1">
      <alignment horizontal="center"/>
    </xf>
    <xf numFmtId="174" fontId="13" fillId="6" borderId="54" xfId="3" applyNumberFormat="1" applyFont="1" applyFill="1" applyBorder="1" applyAlignment="1">
      <alignment horizontal="center"/>
    </xf>
    <xf numFmtId="2" fontId="13" fillId="7" borderId="46" xfId="3" applyNumberFormat="1" applyFont="1" applyFill="1" applyBorder="1" applyAlignment="1">
      <alignment horizontal="center"/>
    </xf>
    <xf numFmtId="174" fontId="13" fillId="7" borderId="46" xfId="3" applyNumberFormat="1" applyFont="1" applyFill="1" applyBorder="1" applyAlignment="1">
      <alignment horizontal="center"/>
    </xf>
    <xf numFmtId="175" fontId="23" fillId="2" borderId="0" xfId="3" applyNumberFormat="1" applyFont="1" applyFill="1" applyAlignment="1">
      <alignment horizontal="center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10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 vertical="center"/>
    </xf>
    <xf numFmtId="0" fontId="12" fillId="2" borderId="55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2" fontId="13" fillId="3" borderId="13" xfId="3" applyNumberFormat="1" applyFont="1" applyFill="1" applyBorder="1" applyAlignment="1" applyProtection="1">
      <alignment horizontal="center" vertical="center"/>
      <protection locked="0"/>
    </xf>
    <xf numFmtId="2" fontId="13" fillId="3" borderId="14" xfId="3" applyNumberFormat="1" applyFont="1" applyFill="1" applyBorder="1" applyAlignment="1" applyProtection="1">
      <alignment horizontal="center" vertical="center"/>
      <protection locked="0"/>
    </xf>
    <xf numFmtId="2" fontId="13" fillId="3" borderId="15" xfId="3" applyNumberFormat="1" applyFont="1" applyFill="1" applyBorder="1" applyAlignment="1" applyProtection="1">
      <alignment horizontal="center" vertical="center"/>
      <protection locked="0"/>
    </xf>
    <xf numFmtId="0" fontId="12" fillId="2" borderId="43" xfId="3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40" xfId="3" applyFont="1" applyFill="1" applyBorder="1" applyAlignment="1">
      <alignment horizontal="center"/>
    </xf>
    <xf numFmtId="0" fontId="14" fillId="3" borderId="0" xfId="3" applyFont="1" applyFill="1" applyAlignment="1" applyProtection="1">
      <alignment horizontal="left" wrapText="1"/>
      <protection locked="0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/>
    </xf>
    <xf numFmtId="0" fontId="14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0" xfId="5" applyFont="1" applyFill="1"/>
    <xf numFmtId="0" fontId="2" fillId="2" borderId="0" xfId="5" applyFont="1" applyFill="1"/>
    <xf numFmtId="0" fontId="2" fillId="2" borderId="0" xfId="5" applyFont="1" applyFill="1" applyAlignment="1">
      <alignment horizontal="right"/>
    </xf>
    <xf numFmtId="0" fontId="3" fillId="2" borderId="0" xfId="5" applyFont="1" applyFill="1" applyAlignment="1">
      <alignment horizontal="center"/>
    </xf>
    <xf numFmtId="0" fontId="4" fillId="2" borderId="0" xfId="5" applyFont="1" applyFill="1"/>
    <xf numFmtId="0" fontId="4" fillId="2" borderId="0" xfId="5" applyFont="1" applyFill="1" applyAlignment="1">
      <alignment horizontal="left"/>
    </xf>
    <xf numFmtId="0" fontId="5" fillId="2" borderId="0" xfId="5" applyFont="1" applyFill="1" applyAlignment="1">
      <alignment horizontal="left"/>
    </xf>
    <xf numFmtId="0" fontId="5" fillId="2" borderId="0" xfId="5" applyFont="1" applyFill="1" applyAlignment="1">
      <alignment horizontal="center"/>
    </xf>
    <xf numFmtId="0" fontId="6" fillId="2" borderId="0" xfId="5" applyFont="1" applyFill="1"/>
    <xf numFmtId="0" fontId="5" fillId="2" borderId="0" xfId="5" applyFont="1" applyFill="1"/>
    <xf numFmtId="2" fontId="5" fillId="2" borderId="0" xfId="5" applyNumberFormat="1" applyFont="1" applyFill="1" applyAlignment="1">
      <alignment horizontal="center"/>
    </xf>
    <xf numFmtId="164" fontId="5" fillId="2" borderId="0" xfId="5" applyNumberFormat="1" applyFont="1" applyFill="1" applyAlignment="1">
      <alignment horizontal="center"/>
    </xf>
    <xf numFmtId="0" fontId="5" fillId="2" borderId="1" xfId="5" applyFont="1" applyFill="1" applyBorder="1" applyAlignment="1">
      <alignment horizontal="center"/>
    </xf>
    <xf numFmtId="0" fontId="5" fillId="2" borderId="2" xfId="5" applyFont="1" applyFill="1" applyBorder="1" applyAlignment="1">
      <alignment horizontal="center"/>
    </xf>
    <xf numFmtId="0" fontId="6" fillId="2" borderId="3" xfId="5" applyFont="1" applyFill="1" applyBorder="1" applyAlignment="1">
      <alignment horizontal="center"/>
    </xf>
    <xf numFmtId="0" fontId="7" fillId="3" borderId="3" xfId="5" applyFont="1" applyFill="1" applyBorder="1" applyAlignment="1" applyProtection="1">
      <alignment horizontal="center"/>
      <protection locked="0"/>
    </xf>
    <xf numFmtId="2" fontId="7" fillId="3" borderId="3" xfId="5" applyNumberFormat="1" applyFont="1" applyFill="1" applyBorder="1" applyAlignment="1" applyProtection="1">
      <alignment horizontal="center"/>
      <protection locked="0"/>
    </xf>
    <xf numFmtId="2" fontId="7" fillId="3" borderId="4" xfId="5" applyNumberFormat="1" applyFont="1" applyFill="1" applyBorder="1" applyAlignment="1" applyProtection="1">
      <alignment horizontal="center"/>
      <protection locked="0"/>
    </xf>
    <xf numFmtId="0" fontId="7" fillId="3" borderId="5" xfId="5" applyFont="1" applyFill="1" applyBorder="1" applyAlignment="1" applyProtection="1">
      <alignment horizontal="center"/>
      <protection locked="0"/>
    </xf>
    <xf numFmtId="2" fontId="7" fillId="3" borderId="5" xfId="5" applyNumberFormat="1" applyFont="1" applyFill="1" applyBorder="1" applyAlignment="1" applyProtection="1">
      <alignment horizontal="center"/>
      <protection locked="0"/>
    </xf>
    <xf numFmtId="0" fontId="6" fillId="2" borderId="4" xfId="5" applyFont="1" applyFill="1" applyBorder="1"/>
    <xf numFmtId="1" fontId="5" fillId="4" borderId="2" xfId="5" applyNumberFormat="1" applyFont="1" applyFill="1" applyBorder="1" applyAlignment="1">
      <alignment horizontal="center"/>
    </xf>
    <xf numFmtId="1" fontId="5" fillId="4" borderId="1" xfId="5" applyNumberFormat="1" applyFont="1" applyFill="1" applyBorder="1" applyAlignment="1">
      <alignment horizontal="center"/>
    </xf>
    <xf numFmtId="2" fontId="5" fillId="4" borderId="1" xfId="5" applyNumberFormat="1" applyFont="1" applyFill="1" applyBorder="1" applyAlignment="1">
      <alignment horizontal="center"/>
    </xf>
    <xf numFmtId="0" fontId="6" fillId="2" borderId="3" xfId="5" applyFont="1" applyFill="1" applyBorder="1"/>
    <xf numFmtId="10" fontId="5" fillId="5" borderId="1" xfId="5" applyNumberFormat="1" applyFont="1" applyFill="1" applyBorder="1" applyAlignment="1">
      <alignment horizontal="center"/>
    </xf>
    <xf numFmtId="165" fontId="5" fillId="2" borderId="0" xfId="5" applyNumberFormat="1" applyFont="1" applyFill="1" applyAlignment="1">
      <alignment horizontal="center"/>
    </xf>
    <xf numFmtId="0" fontId="6" fillId="2" borderId="6" xfId="5" applyFont="1" applyFill="1" applyBorder="1"/>
    <xf numFmtId="0" fontId="6" fillId="2" borderId="5" xfId="5" applyFont="1" applyFill="1" applyBorder="1"/>
    <xf numFmtId="0" fontId="5" fillId="4" borderId="1" xfId="5" applyFont="1" applyFill="1" applyBorder="1" applyAlignment="1">
      <alignment horizontal="center"/>
    </xf>
    <xf numFmtId="0" fontId="5" fillId="2" borderId="7" xfId="5" applyFont="1" applyFill="1" applyBorder="1" applyAlignment="1">
      <alignment horizontal="center"/>
    </xf>
    <xf numFmtId="0" fontId="6" fillId="2" borderId="7" xfId="5" applyFont="1" applyFill="1" applyBorder="1"/>
    <xf numFmtId="0" fontId="6" fillId="2" borderId="8" xfId="5" applyFont="1" applyFill="1" applyBorder="1"/>
    <xf numFmtId="0" fontId="6" fillId="2" borderId="0" xfId="5" applyFont="1" applyFill="1" applyAlignment="1" applyProtection="1">
      <alignment horizontal="left"/>
      <protection locked="0"/>
    </xf>
    <xf numFmtId="0" fontId="6" fillId="2" borderId="0" xfId="5" applyFont="1" applyFill="1" applyProtection="1">
      <protection locked="0"/>
    </xf>
    <xf numFmtId="0" fontId="2" fillId="2" borderId="9" xfId="5" applyFont="1" applyFill="1" applyBorder="1"/>
    <xf numFmtId="0" fontId="2" fillId="2" borderId="0" xfId="5" applyFont="1" applyFill="1" applyAlignment="1">
      <alignment horizontal="center"/>
    </xf>
    <xf numFmtId="10" fontId="2" fillId="2" borderId="9" xfId="5" applyNumberFormat="1" applyFont="1" applyFill="1" applyBorder="1"/>
    <xf numFmtId="0" fontId="25" fillId="2" borderId="0" xfId="5" applyFill="1"/>
    <xf numFmtId="0" fontId="1" fillId="2" borderId="10" xfId="5" applyFont="1" applyFill="1" applyBorder="1" applyAlignment="1">
      <alignment horizontal="center"/>
    </xf>
    <xf numFmtId="0" fontId="1" fillId="2" borderId="10" xfId="5" applyFont="1" applyFill="1" applyBorder="1" applyAlignment="1">
      <alignment horizontal="center"/>
    </xf>
    <xf numFmtId="0" fontId="2" fillId="2" borderId="10" xfId="5" applyFont="1" applyFill="1" applyBorder="1" applyAlignment="1">
      <alignment horizontal="center"/>
    </xf>
    <xf numFmtId="0" fontId="1" fillId="2" borderId="0" xfId="5" applyFont="1" applyFill="1" applyAlignment="1">
      <alignment horizontal="right"/>
    </xf>
    <xf numFmtId="0" fontId="2" fillId="2" borderId="7" xfId="5" applyFont="1" applyFill="1" applyBorder="1"/>
    <xf numFmtId="0" fontId="1" fillId="2" borderId="11" xfId="5" applyFont="1" applyFill="1" applyBorder="1"/>
    <xf numFmtId="0" fontId="2" fillId="2" borderId="11" xfId="5" applyFont="1" applyFill="1" applyBorder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7013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 sst"/>
      <sheetName val="Uniformity"/>
      <sheetName val="Lamivudine"/>
      <sheetName val="Tenofovir Disoproxil Fumurate"/>
      <sheetName val="TDF SST"/>
    </sheetNames>
    <sheetDataSet>
      <sheetData sheetId="0"/>
      <sheetData sheetId="1">
        <row r="46">
          <cell r="C46">
            <v>869.21750000000009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5" workbookViewId="0">
      <selection activeCell="A57" sqref="A57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51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04" t="s">
        <v>0</v>
      </c>
      <c r="B15" s="504"/>
      <c r="C15" s="504"/>
      <c r="D15" s="504"/>
      <c r="E15" s="504"/>
    </row>
    <row r="16" spans="1:6" ht="16.5" customHeight="1" x14ac:dyDescent="0.3">
      <c r="A16" s="52" t="s">
        <v>1</v>
      </c>
      <c r="B16" s="53" t="s">
        <v>2</v>
      </c>
    </row>
    <row r="17" spans="1:5" ht="16.5" customHeight="1" x14ac:dyDescent="0.3">
      <c r="A17" s="54" t="s">
        <v>3</v>
      </c>
      <c r="B17" s="54" t="s">
        <v>131</v>
      </c>
      <c r="D17" s="55"/>
      <c r="E17" s="56"/>
    </row>
    <row r="18" spans="1:5" ht="16.5" customHeight="1" x14ac:dyDescent="0.3">
      <c r="A18" s="57" t="s">
        <v>4</v>
      </c>
      <c r="B18" s="49" t="s">
        <v>132</v>
      </c>
      <c r="C18" s="56"/>
      <c r="D18" s="56"/>
      <c r="E18" s="56"/>
    </row>
    <row r="19" spans="1:5" ht="16.5" customHeight="1" x14ac:dyDescent="0.3">
      <c r="A19" s="57" t="s">
        <v>6</v>
      </c>
      <c r="B19" s="58">
        <v>99.8</v>
      </c>
      <c r="C19" s="56"/>
      <c r="D19" s="56"/>
      <c r="E19" s="56"/>
    </row>
    <row r="20" spans="1:5" ht="16.5" customHeight="1" x14ac:dyDescent="0.3">
      <c r="A20" s="54" t="s">
        <v>8</v>
      </c>
      <c r="B20" s="58">
        <v>18.010000000000002</v>
      </c>
      <c r="C20" s="56"/>
      <c r="D20" s="56"/>
      <c r="E20" s="56"/>
    </row>
    <row r="21" spans="1:5" ht="16.5" customHeight="1" x14ac:dyDescent="0.3">
      <c r="A21" s="54" t="s">
        <v>10</v>
      </c>
      <c r="B21" s="59">
        <f>B20/50*10/25</f>
        <v>0.14408000000000001</v>
      </c>
      <c r="C21" s="56"/>
      <c r="D21" s="56"/>
      <c r="E21" s="56"/>
    </row>
    <row r="22" spans="1:5" ht="15.75" customHeight="1" x14ac:dyDescent="0.25">
      <c r="A22" s="56"/>
      <c r="B22" s="56" t="s">
        <v>133</v>
      </c>
      <c r="C22" s="56"/>
      <c r="D22" s="56"/>
      <c r="E22" s="56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28227340</v>
      </c>
      <c r="C24" s="63">
        <v>7941.5</v>
      </c>
      <c r="D24" s="64">
        <v>1</v>
      </c>
      <c r="E24" s="65">
        <v>5.4</v>
      </c>
    </row>
    <row r="25" spans="1:5" ht="16.5" customHeight="1" x14ac:dyDescent="0.3">
      <c r="A25" s="62">
        <v>2</v>
      </c>
      <c r="B25" s="63">
        <v>28187552</v>
      </c>
      <c r="C25" s="63">
        <v>7379.5</v>
      </c>
      <c r="D25" s="64">
        <v>1</v>
      </c>
      <c r="E25" s="64">
        <v>5.4</v>
      </c>
    </row>
    <row r="26" spans="1:5" ht="16.5" customHeight="1" x14ac:dyDescent="0.3">
      <c r="A26" s="62">
        <v>3</v>
      </c>
      <c r="B26" s="63">
        <v>27861833</v>
      </c>
      <c r="C26" s="63">
        <v>7409.3</v>
      </c>
      <c r="D26" s="64">
        <v>1</v>
      </c>
      <c r="E26" s="64">
        <v>5.4</v>
      </c>
    </row>
    <row r="27" spans="1:5" ht="16.5" customHeight="1" x14ac:dyDescent="0.3">
      <c r="A27" s="62">
        <v>4</v>
      </c>
      <c r="B27" s="63">
        <v>28188235</v>
      </c>
      <c r="C27" s="63">
        <v>7464.9</v>
      </c>
      <c r="D27" s="64">
        <v>1</v>
      </c>
      <c r="E27" s="64">
        <v>5.4</v>
      </c>
    </row>
    <row r="28" spans="1:5" ht="16.5" customHeight="1" x14ac:dyDescent="0.3">
      <c r="A28" s="62">
        <v>5</v>
      </c>
      <c r="B28" s="63">
        <v>28120334</v>
      </c>
      <c r="C28" s="63">
        <v>7467.6</v>
      </c>
      <c r="D28" s="64">
        <v>1</v>
      </c>
      <c r="E28" s="64">
        <v>5.4</v>
      </c>
    </row>
    <row r="29" spans="1:5" ht="16.5" customHeight="1" x14ac:dyDescent="0.3">
      <c r="A29" s="62">
        <v>6</v>
      </c>
      <c r="B29" s="66">
        <v>27914804</v>
      </c>
      <c r="C29" s="66">
        <v>7478.6</v>
      </c>
      <c r="D29" s="67">
        <v>1</v>
      </c>
      <c r="E29" s="67">
        <v>5.4</v>
      </c>
    </row>
    <row r="30" spans="1:5" ht="16.5" customHeight="1" x14ac:dyDescent="0.3">
      <c r="A30" s="68" t="s">
        <v>18</v>
      </c>
      <c r="B30" s="69">
        <f>AVERAGE(B24:B29)</f>
        <v>28083349.666666668</v>
      </c>
      <c r="C30" s="70">
        <f>AVERAGE(C24:C29)</f>
        <v>7523.5666666666657</v>
      </c>
      <c r="D30" s="71">
        <f>AVERAGE(D24:D29)</f>
        <v>1</v>
      </c>
      <c r="E30" s="71">
        <f>AVERAGE(E24:E29)</f>
        <v>5.3999999999999995</v>
      </c>
    </row>
    <row r="31" spans="1:5" ht="16.5" customHeight="1" x14ac:dyDescent="0.3">
      <c r="A31" s="72" t="s">
        <v>19</v>
      </c>
      <c r="B31" s="73">
        <f>(STDEV(B24:B29)/B30)</f>
        <v>5.5493524159268576E-3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6"/>
      <c r="B33" s="56"/>
      <c r="C33" s="56"/>
      <c r="D33" s="56"/>
      <c r="E33" s="56"/>
    </row>
    <row r="34" spans="1:5" s="49" customFormat="1" ht="16.5" customHeight="1" x14ac:dyDescent="0.3">
      <c r="A34" s="57" t="s">
        <v>21</v>
      </c>
      <c r="B34" s="81" t="s">
        <v>22</v>
      </c>
      <c r="C34" s="82"/>
      <c r="D34" s="82"/>
      <c r="E34" s="82"/>
    </row>
    <row r="35" spans="1:5" ht="16.5" customHeight="1" x14ac:dyDescent="0.3">
      <c r="A35" s="57"/>
      <c r="B35" s="81" t="s">
        <v>23</v>
      </c>
      <c r="C35" s="82"/>
      <c r="D35" s="82"/>
      <c r="E35" s="82"/>
    </row>
    <row r="36" spans="1:5" ht="16.5" customHeight="1" x14ac:dyDescent="0.3">
      <c r="A36" s="57"/>
      <c r="B36" s="81" t="s">
        <v>24</v>
      </c>
      <c r="C36" s="82"/>
      <c r="D36" s="82"/>
      <c r="E36" s="82"/>
    </row>
    <row r="37" spans="1:5" ht="15.75" customHeight="1" x14ac:dyDescent="0.25">
      <c r="A37" s="56"/>
      <c r="B37" s="56"/>
      <c r="C37" s="56"/>
      <c r="D37" s="56"/>
      <c r="E37" s="56"/>
    </row>
    <row r="38" spans="1:5" ht="16.5" customHeight="1" x14ac:dyDescent="0.3">
      <c r="A38" s="52" t="s">
        <v>1</v>
      </c>
      <c r="B38" s="53" t="s">
        <v>25</v>
      </c>
    </row>
    <row r="39" spans="1:5" ht="16.5" customHeight="1" x14ac:dyDescent="0.3">
      <c r="A39" s="57" t="s">
        <v>4</v>
      </c>
      <c r="B39" s="54" t="s">
        <v>132</v>
      </c>
      <c r="C39" s="56"/>
      <c r="D39" s="56"/>
      <c r="E39" s="56"/>
    </row>
    <row r="40" spans="1:5" ht="16.5" customHeight="1" x14ac:dyDescent="0.3">
      <c r="A40" s="57" t="s">
        <v>6</v>
      </c>
      <c r="B40" s="58">
        <v>98</v>
      </c>
      <c r="C40" s="56"/>
      <c r="D40" s="56"/>
      <c r="E40" s="56"/>
    </row>
    <row r="41" spans="1:5" ht="16.5" customHeight="1" x14ac:dyDescent="0.3">
      <c r="A41" s="54" t="s">
        <v>8</v>
      </c>
      <c r="B41" s="58">
        <v>16.95</v>
      </c>
      <c r="C41" s="56"/>
      <c r="D41" s="56"/>
      <c r="E41" s="56"/>
    </row>
    <row r="42" spans="1:5" ht="16.5" customHeight="1" x14ac:dyDescent="0.3">
      <c r="A42" s="54" t="s">
        <v>10</v>
      </c>
      <c r="B42" s="59">
        <f>B41/50</f>
        <v>0.33899999999999997</v>
      </c>
      <c r="C42" s="56"/>
      <c r="D42" s="56"/>
      <c r="E42" s="56"/>
    </row>
    <row r="43" spans="1:5" ht="15.75" customHeight="1" x14ac:dyDescent="0.25">
      <c r="A43" s="56"/>
      <c r="B43" s="56"/>
      <c r="C43" s="56"/>
      <c r="D43" s="56"/>
      <c r="E43" s="56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ht="16.5" customHeight="1" x14ac:dyDescent="0.3">
      <c r="A45" s="62">
        <v>1</v>
      </c>
      <c r="B45" s="63">
        <v>64073755</v>
      </c>
      <c r="C45" s="63">
        <v>6766.2</v>
      </c>
      <c r="D45" s="64">
        <v>0.9</v>
      </c>
      <c r="E45" s="65">
        <v>4.8</v>
      </c>
    </row>
    <row r="46" spans="1:5" ht="16.5" customHeight="1" x14ac:dyDescent="0.3">
      <c r="A46" s="62">
        <v>2</v>
      </c>
      <c r="B46" s="63">
        <v>65242733</v>
      </c>
      <c r="C46" s="63">
        <v>6674.3</v>
      </c>
      <c r="D46" s="64">
        <v>0.9</v>
      </c>
      <c r="E46" s="64">
        <v>4.8</v>
      </c>
    </row>
    <row r="47" spans="1:5" ht="16.5" customHeight="1" x14ac:dyDescent="0.3">
      <c r="A47" s="62">
        <v>3</v>
      </c>
      <c r="B47" s="63">
        <v>65340275</v>
      </c>
      <c r="C47" s="63">
        <v>6670.6</v>
      </c>
      <c r="D47" s="64">
        <v>0.9</v>
      </c>
      <c r="E47" s="64">
        <v>4.8</v>
      </c>
    </row>
    <row r="48" spans="1:5" ht="16.5" customHeight="1" x14ac:dyDescent="0.3">
      <c r="A48" s="62">
        <v>4</v>
      </c>
      <c r="B48" s="63">
        <v>64054853</v>
      </c>
      <c r="C48" s="63">
        <v>6705.4</v>
      </c>
      <c r="D48" s="64">
        <v>0.9</v>
      </c>
      <c r="E48" s="64">
        <v>4.8</v>
      </c>
    </row>
    <row r="49" spans="1:7" ht="16.5" customHeight="1" x14ac:dyDescent="0.3">
      <c r="A49" s="62">
        <v>5</v>
      </c>
      <c r="B49" s="63">
        <v>65487696</v>
      </c>
      <c r="C49" s="63">
        <v>6700.9</v>
      </c>
      <c r="D49" s="64">
        <v>0.9</v>
      </c>
      <c r="E49" s="64">
        <v>4.8</v>
      </c>
    </row>
    <row r="50" spans="1:7" ht="16.5" customHeight="1" x14ac:dyDescent="0.3">
      <c r="A50" s="62">
        <v>6</v>
      </c>
      <c r="B50" s="66">
        <v>65126952</v>
      </c>
      <c r="C50" s="66">
        <v>6704.1</v>
      </c>
      <c r="D50" s="67">
        <v>0.9</v>
      </c>
      <c r="E50" s="67">
        <v>4.8</v>
      </c>
    </row>
    <row r="51" spans="1:7" ht="16.5" customHeight="1" x14ac:dyDescent="0.3">
      <c r="A51" s="68" t="s">
        <v>18</v>
      </c>
      <c r="B51" s="69">
        <f>AVERAGE(B45:B50)</f>
        <v>64887710.666666664</v>
      </c>
      <c r="C51" s="70">
        <f>AVERAGE(C45:C50)</f>
        <v>6703.583333333333</v>
      </c>
      <c r="D51" s="71">
        <f>AVERAGE(D45:D50)</f>
        <v>0.9</v>
      </c>
      <c r="E51" s="71">
        <f>AVERAGE(E45:E50)</f>
        <v>4.8</v>
      </c>
    </row>
    <row r="52" spans="1:7" ht="16.5" customHeight="1" x14ac:dyDescent="0.3">
      <c r="A52" s="72" t="s">
        <v>19</v>
      </c>
      <c r="B52" s="73">
        <f>(STDEV(B45:B50)/B51)</f>
        <v>9.9977253127687214E-3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6</v>
      </c>
      <c r="C53" s="78"/>
      <c r="D53" s="79"/>
      <c r="E53" s="80"/>
    </row>
    <row r="54" spans="1:7" s="49" customFormat="1" ht="15.75" customHeight="1" x14ac:dyDescent="0.25">
      <c r="A54" s="56"/>
      <c r="B54" s="56"/>
      <c r="C54" s="56"/>
      <c r="D54" s="56"/>
      <c r="E54" s="56"/>
    </row>
    <row r="55" spans="1:7" s="49" customFormat="1" ht="16.5" customHeight="1" x14ac:dyDescent="0.3">
      <c r="A55" s="57" t="s">
        <v>21</v>
      </c>
      <c r="B55" s="81" t="s">
        <v>22</v>
      </c>
      <c r="C55" s="82"/>
      <c r="D55" s="82"/>
      <c r="E55" s="82"/>
    </row>
    <row r="56" spans="1:7" ht="16.5" customHeight="1" x14ac:dyDescent="0.3">
      <c r="A56" s="57"/>
      <c r="B56" s="81" t="s">
        <v>23</v>
      </c>
      <c r="C56" s="82"/>
      <c r="D56" s="82"/>
      <c r="E56" s="82"/>
    </row>
    <row r="57" spans="1:7" ht="16.5" customHeight="1" x14ac:dyDescent="0.3">
      <c r="A57" s="57"/>
      <c r="B57" s="81" t="s">
        <v>24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51"/>
      <c r="G58" s="51"/>
    </row>
    <row r="59" spans="1:7" ht="15" customHeight="1" x14ac:dyDescent="0.3">
      <c r="B59" s="505" t="s">
        <v>26</v>
      </c>
      <c r="C59" s="505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A57" sqref="A57"/>
    </sheetView>
  </sheetViews>
  <sheetFormatPr defaultRowHeight="13.5" x14ac:dyDescent="0.25"/>
  <cols>
    <col min="1" max="1" width="27.5703125" style="515" customWidth="1"/>
    <col min="2" max="2" width="20.42578125" style="515" customWidth="1"/>
    <col min="3" max="3" width="31.85546875" style="515" customWidth="1"/>
    <col min="4" max="4" width="25.85546875" style="515" customWidth="1"/>
    <col min="5" max="5" width="25.7109375" style="515" customWidth="1"/>
    <col min="6" max="6" width="23.140625" style="515" customWidth="1"/>
    <col min="7" max="7" width="28.42578125" style="515" customWidth="1"/>
    <col min="8" max="8" width="21.5703125" style="515" customWidth="1"/>
    <col min="9" max="9" width="9.140625" style="515" customWidth="1"/>
    <col min="10" max="16384" width="9.140625" style="552"/>
  </cols>
  <sheetData>
    <row r="14" spans="1:6" ht="15" customHeight="1" x14ac:dyDescent="0.3">
      <c r="A14" s="514"/>
      <c r="C14" s="516"/>
      <c r="F14" s="516"/>
    </row>
    <row r="15" spans="1:6" ht="18.75" customHeight="1" x14ac:dyDescent="0.3">
      <c r="A15" s="517" t="s">
        <v>0</v>
      </c>
      <c r="B15" s="517"/>
      <c r="C15" s="517"/>
      <c r="D15" s="517"/>
      <c r="E15" s="517"/>
    </row>
    <row r="16" spans="1:6" ht="16.5" customHeight="1" x14ac:dyDescent="0.3">
      <c r="A16" s="518" t="s">
        <v>1</v>
      </c>
      <c r="B16" s="519" t="s">
        <v>2</v>
      </c>
    </row>
    <row r="17" spans="1:5" ht="16.5" customHeight="1" x14ac:dyDescent="0.3">
      <c r="A17" s="520" t="s">
        <v>3</v>
      </c>
      <c r="B17" s="520" t="s">
        <v>131</v>
      </c>
      <c r="D17" s="521"/>
      <c r="E17" s="522"/>
    </row>
    <row r="18" spans="1:5" ht="16.5" customHeight="1" x14ac:dyDescent="0.3">
      <c r="A18" s="523" t="s">
        <v>4</v>
      </c>
      <c r="B18" s="515" t="s">
        <v>138</v>
      </c>
      <c r="C18" s="522"/>
      <c r="D18" s="522"/>
      <c r="E18" s="522"/>
    </row>
    <row r="19" spans="1:5" ht="16.5" customHeight="1" x14ac:dyDescent="0.3">
      <c r="A19" s="523" t="s">
        <v>6</v>
      </c>
      <c r="B19" s="524">
        <v>98.8</v>
      </c>
      <c r="C19" s="522"/>
      <c r="D19" s="522"/>
      <c r="E19" s="522"/>
    </row>
    <row r="20" spans="1:5" ht="16.5" customHeight="1" x14ac:dyDescent="0.3">
      <c r="A20" s="520" t="s">
        <v>8</v>
      </c>
      <c r="B20" s="524">
        <v>14.25</v>
      </c>
      <c r="C20" s="522"/>
      <c r="D20" s="522"/>
      <c r="E20" s="522"/>
    </row>
    <row r="21" spans="1:5" ht="16.5" customHeight="1" x14ac:dyDescent="0.3">
      <c r="A21" s="520" t="s">
        <v>10</v>
      </c>
      <c r="B21" s="525">
        <f>B20/50*10/25</f>
        <v>0.11399999999999999</v>
      </c>
      <c r="C21" s="522"/>
      <c r="D21" s="522"/>
      <c r="E21" s="522"/>
    </row>
    <row r="22" spans="1:5" ht="15.75" customHeight="1" x14ac:dyDescent="0.25">
      <c r="A22" s="522"/>
      <c r="B22" s="522" t="s">
        <v>133</v>
      </c>
      <c r="C22" s="522"/>
      <c r="D22" s="522"/>
      <c r="E22" s="522"/>
    </row>
    <row r="23" spans="1:5" ht="16.5" customHeight="1" x14ac:dyDescent="0.3">
      <c r="A23" s="526" t="s">
        <v>13</v>
      </c>
      <c r="B23" s="527" t="s">
        <v>14</v>
      </c>
      <c r="C23" s="526" t="s">
        <v>15</v>
      </c>
      <c r="D23" s="526" t="s">
        <v>16</v>
      </c>
      <c r="E23" s="526" t="s">
        <v>17</v>
      </c>
    </row>
    <row r="24" spans="1:5" ht="16.5" customHeight="1" x14ac:dyDescent="0.3">
      <c r="A24" s="528">
        <v>1</v>
      </c>
      <c r="B24" s="529">
        <v>12161426</v>
      </c>
      <c r="C24" s="529">
        <v>621984.80000000005</v>
      </c>
      <c r="D24" s="530">
        <v>1.1000000000000001</v>
      </c>
      <c r="E24" s="531">
        <v>24.6</v>
      </c>
    </row>
    <row r="25" spans="1:5" ht="16.5" customHeight="1" x14ac:dyDescent="0.3">
      <c r="A25" s="528">
        <v>2</v>
      </c>
      <c r="B25" s="529">
        <v>12134520</v>
      </c>
      <c r="C25" s="529">
        <v>626626.9</v>
      </c>
      <c r="D25" s="530">
        <v>1.1000000000000001</v>
      </c>
      <c r="E25" s="530">
        <v>24.6</v>
      </c>
    </row>
    <row r="26" spans="1:5" ht="16.5" customHeight="1" x14ac:dyDescent="0.3">
      <c r="A26" s="528">
        <v>3</v>
      </c>
      <c r="B26" s="529">
        <v>12005492</v>
      </c>
      <c r="C26" s="529">
        <v>636969.1</v>
      </c>
      <c r="D26" s="530">
        <v>1.1000000000000001</v>
      </c>
      <c r="E26" s="530">
        <v>24.6</v>
      </c>
    </row>
    <row r="27" spans="1:5" ht="16.5" customHeight="1" x14ac:dyDescent="0.3">
      <c r="A27" s="528">
        <v>4</v>
      </c>
      <c r="B27" s="529">
        <v>12142659</v>
      </c>
      <c r="C27" s="529">
        <v>643714.5</v>
      </c>
      <c r="D27" s="530">
        <v>1.1000000000000001</v>
      </c>
      <c r="E27" s="530">
        <v>24.6</v>
      </c>
    </row>
    <row r="28" spans="1:5" ht="16.5" customHeight="1" x14ac:dyDescent="0.3">
      <c r="A28" s="528">
        <v>5</v>
      </c>
      <c r="B28" s="529">
        <v>11986395</v>
      </c>
      <c r="C28" s="529">
        <v>645851.19999999995</v>
      </c>
      <c r="D28" s="530">
        <v>1.1000000000000001</v>
      </c>
      <c r="E28" s="530">
        <v>24.6</v>
      </c>
    </row>
    <row r="29" spans="1:5" ht="16.5" customHeight="1" x14ac:dyDescent="0.3">
      <c r="A29" s="528">
        <v>6</v>
      </c>
      <c r="B29" s="532">
        <v>12238309</v>
      </c>
      <c r="C29" s="532">
        <v>650481.1</v>
      </c>
      <c r="D29" s="533">
        <v>1.1000000000000001</v>
      </c>
      <c r="E29" s="533">
        <v>24.6</v>
      </c>
    </row>
    <row r="30" spans="1:5" ht="16.5" customHeight="1" x14ac:dyDescent="0.3">
      <c r="A30" s="534" t="s">
        <v>18</v>
      </c>
      <c r="B30" s="535">
        <f>AVERAGE(B24:B29)</f>
        <v>12111466.833333334</v>
      </c>
      <c r="C30" s="536">
        <f>AVERAGE(C24:C29)</f>
        <v>637604.6</v>
      </c>
      <c r="D30" s="537">
        <f>AVERAGE(D24:D29)</f>
        <v>1.0999999999999999</v>
      </c>
      <c r="E30" s="537">
        <f>AVERAGE(E24:E29)</f>
        <v>24.599999999999998</v>
      </c>
    </row>
    <row r="31" spans="1:5" ht="16.5" customHeight="1" x14ac:dyDescent="0.3">
      <c r="A31" s="538" t="s">
        <v>19</v>
      </c>
      <c r="B31" s="539">
        <f>(STDEV(B24:B29)/B30)</f>
        <v>8.0019461521337893E-3</v>
      </c>
      <c r="C31" s="540"/>
      <c r="D31" s="540"/>
      <c r="E31" s="541"/>
    </row>
    <row r="32" spans="1:5" s="515" customFormat="1" ht="16.5" customHeight="1" x14ac:dyDescent="0.3">
      <c r="A32" s="542" t="s">
        <v>20</v>
      </c>
      <c r="B32" s="543">
        <f>COUNT(B24:B29)</f>
        <v>6</v>
      </c>
      <c r="C32" s="544"/>
      <c r="D32" s="545"/>
      <c r="E32" s="546"/>
    </row>
    <row r="33" spans="1:5" s="515" customFormat="1" ht="15.75" customHeight="1" x14ac:dyDescent="0.25">
      <c r="A33" s="522"/>
      <c r="B33" s="522"/>
      <c r="C33" s="522"/>
      <c r="D33" s="522"/>
      <c r="E33" s="522"/>
    </row>
    <row r="34" spans="1:5" s="515" customFormat="1" ht="16.5" customHeight="1" x14ac:dyDescent="0.3">
      <c r="A34" s="523" t="s">
        <v>21</v>
      </c>
      <c r="B34" s="547" t="s">
        <v>22</v>
      </c>
      <c r="C34" s="548"/>
      <c r="D34" s="548"/>
      <c r="E34" s="548"/>
    </row>
    <row r="35" spans="1:5" ht="16.5" customHeight="1" x14ac:dyDescent="0.3">
      <c r="A35" s="523"/>
      <c r="B35" s="547" t="s">
        <v>23</v>
      </c>
      <c r="C35" s="548"/>
      <c r="D35" s="548"/>
      <c r="E35" s="548"/>
    </row>
    <row r="36" spans="1:5" ht="16.5" customHeight="1" x14ac:dyDescent="0.3">
      <c r="A36" s="523"/>
      <c r="B36" s="547" t="s">
        <v>24</v>
      </c>
      <c r="C36" s="548"/>
      <c r="D36" s="548"/>
      <c r="E36" s="548"/>
    </row>
    <row r="37" spans="1:5" ht="15.75" customHeight="1" x14ac:dyDescent="0.25">
      <c r="A37" s="522"/>
      <c r="B37" s="522"/>
      <c r="C37" s="522"/>
      <c r="D37" s="522"/>
      <c r="E37" s="522"/>
    </row>
    <row r="38" spans="1:5" ht="16.5" customHeight="1" x14ac:dyDescent="0.3">
      <c r="A38" s="518" t="s">
        <v>1</v>
      </c>
      <c r="B38" s="519" t="s">
        <v>25</v>
      </c>
    </row>
    <row r="39" spans="1:5" ht="16.5" customHeight="1" x14ac:dyDescent="0.3">
      <c r="A39" s="523" t="s">
        <v>4</v>
      </c>
      <c r="B39" s="520" t="s">
        <v>138</v>
      </c>
      <c r="C39" s="522"/>
      <c r="D39" s="522"/>
      <c r="E39" s="522"/>
    </row>
    <row r="40" spans="1:5" ht="16.5" customHeight="1" x14ac:dyDescent="0.3">
      <c r="A40" s="523" t="s">
        <v>6</v>
      </c>
      <c r="B40" s="524">
        <v>98.8</v>
      </c>
      <c r="C40" s="522"/>
      <c r="D40" s="522"/>
      <c r="E40" s="522"/>
    </row>
    <row r="41" spans="1:5" ht="16.5" customHeight="1" x14ac:dyDescent="0.3">
      <c r="A41" s="520" t="s">
        <v>8</v>
      </c>
      <c r="B41" s="524">
        <v>16.809999999999999</v>
      </c>
      <c r="C41" s="522"/>
      <c r="D41" s="522"/>
      <c r="E41" s="522"/>
    </row>
    <row r="42" spans="1:5" ht="16.5" customHeight="1" x14ac:dyDescent="0.3">
      <c r="A42" s="520" t="s">
        <v>10</v>
      </c>
      <c r="B42" s="525">
        <f>B41/50</f>
        <v>0.3362</v>
      </c>
      <c r="C42" s="522"/>
      <c r="D42" s="522"/>
      <c r="E42" s="522"/>
    </row>
    <row r="43" spans="1:5" ht="15.75" customHeight="1" x14ac:dyDescent="0.25">
      <c r="A43" s="522"/>
      <c r="B43" s="522"/>
      <c r="C43" s="522"/>
      <c r="D43" s="522"/>
      <c r="E43" s="522"/>
    </row>
    <row r="44" spans="1:5" ht="16.5" customHeight="1" x14ac:dyDescent="0.3">
      <c r="A44" s="526" t="s">
        <v>13</v>
      </c>
      <c r="B44" s="527" t="s">
        <v>14</v>
      </c>
      <c r="C44" s="526" t="s">
        <v>15</v>
      </c>
      <c r="D44" s="526" t="s">
        <v>16</v>
      </c>
      <c r="E44" s="526" t="s">
        <v>17</v>
      </c>
    </row>
    <row r="45" spans="1:5" ht="16.5" customHeight="1" x14ac:dyDescent="0.3">
      <c r="A45" s="528">
        <v>1</v>
      </c>
      <c r="B45" s="529">
        <v>32220347</v>
      </c>
      <c r="C45" s="529">
        <v>55271.1</v>
      </c>
      <c r="D45" s="530">
        <v>1</v>
      </c>
      <c r="E45" s="531">
        <v>16.3</v>
      </c>
    </row>
    <row r="46" spans="1:5" ht="16.5" customHeight="1" x14ac:dyDescent="0.3">
      <c r="A46" s="528">
        <v>2</v>
      </c>
      <c r="B46" s="529">
        <v>32796925</v>
      </c>
      <c r="C46" s="529">
        <v>55190.1</v>
      </c>
      <c r="D46" s="530">
        <v>1</v>
      </c>
      <c r="E46" s="530">
        <v>16.3</v>
      </c>
    </row>
    <row r="47" spans="1:5" ht="16.5" customHeight="1" x14ac:dyDescent="0.3">
      <c r="A47" s="528">
        <v>3</v>
      </c>
      <c r="B47" s="529">
        <v>32847628</v>
      </c>
      <c r="C47" s="529">
        <v>55325.4</v>
      </c>
      <c r="D47" s="530">
        <v>1</v>
      </c>
      <c r="E47" s="530">
        <v>16.3</v>
      </c>
    </row>
    <row r="48" spans="1:5" ht="16.5" customHeight="1" x14ac:dyDescent="0.3">
      <c r="A48" s="528">
        <v>4</v>
      </c>
      <c r="B48" s="529">
        <v>32162485</v>
      </c>
      <c r="C48" s="529">
        <v>55424.5</v>
      </c>
      <c r="D48" s="530">
        <v>1</v>
      </c>
      <c r="E48" s="530">
        <v>16.3</v>
      </c>
    </row>
    <row r="49" spans="1:7" ht="16.5" customHeight="1" x14ac:dyDescent="0.3">
      <c r="A49" s="528">
        <v>5</v>
      </c>
      <c r="B49" s="529">
        <v>32895864</v>
      </c>
      <c r="C49" s="529">
        <v>55251.4</v>
      </c>
      <c r="D49" s="530">
        <v>1</v>
      </c>
      <c r="E49" s="530">
        <v>16.3</v>
      </c>
    </row>
    <row r="50" spans="1:7" ht="16.5" customHeight="1" x14ac:dyDescent="0.3">
      <c r="A50" s="528">
        <v>6</v>
      </c>
      <c r="B50" s="532">
        <v>32700864</v>
      </c>
      <c r="C50" s="532">
        <v>55638.2</v>
      </c>
      <c r="D50" s="533">
        <v>1</v>
      </c>
      <c r="E50" s="533">
        <v>16.3</v>
      </c>
    </row>
    <row r="51" spans="1:7" ht="16.5" customHeight="1" x14ac:dyDescent="0.3">
      <c r="A51" s="534" t="s">
        <v>18</v>
      </c>
      <c r="B51" s="535">
        <f>AVERAGE(B45:B50)</f>
        <v>32604018.833333332</v>
      </c>
      <c r="C51" s="536">
        <f>AVERAGE(C45:C50)</f>
        <v>55350.116666666669</v>
      </c>
      <c r="D51" s="537">
        <f>AVERAGE(D45:D50)</f>
        <v>1</v>
      </c>
      <c r="E51" s="537">
        <f>AVERAGE(E45:E50)</f>
        <v>16.3</v>
      </c>
    </row>
    <row r="52" spans="1:7" ht="16.5" customHeight="1" x14ac:dyDescent="0.3">
      <c r="A52" s="538" t="s">
        <v>19</v>
      </c>
      <c r="B52" s="539">
        <f>(STDEV(B45:B50)/B51)</f>
        <v>1.0016505156511814E-2</v>
      </c>
      <c r="C52" s="540"/>
      <c r="D52" s="540"/>
      <c r="E52" s="541"/>
    </row>
    <row r="53" spans="1:7" s="515" customFormat="1" ht="16.5" customHeight="1" x14ac:dyDescent="0.3">
      <c r="A53" s="542" t="s">
        <v>20</v>
      </c>
      <c r="B53" s="543">
        <f>COUNT(B45:B50)</f>
        <v>6</v>
      </c>
      <c r="C53" s="544"/>
      <c r="D53" s="545"/>
      <c r="E53" s="546"/>
    </row>
    <row r="54" spans="1:7" s="515" customFormat="1" ht="15.75" customHeight="1" x14ac:dyDescent="0.25">
      <c r="A54" s="522"/>
      <c r="B54" s="522"/>
      <c r="C54" s="522"/>
      <c r="D54" s="522"/>
      <c r="E54" s="522"/>
    </row>
    <row r="55" spans="1:7" s="515" customFormat="1" ht="16.5" customHeight="1" x14ac:dyDescent="0.3">
      <c r="A55" s="523" t="s">
        <v>21</v>
      </c>
      <c r="B55" s="547" t="s">
        <v>22</v>
      </c>
      <c r="C55" s="548"/>
      <c r="D55" s="548"/>
      <c r="E55" s="548"/>
    </row>
    <row r="56" spans="1:7" ht="16.5" customHeight="1" x14ac:dyDescent="0.3">
      <c r="A56" s="523"/>
      <c r="B56" s="547" t="s">
        <v>23</v>
      </c>
      <c r="C56" s="548"/>
      <c r="D56" s="548"/>
      <c r="E56" s="548"/>
    </row>
    <row r="57" spans="1:7" ht="16.5" customHeight="1" x14ac:dyDescent="0.3">
      <c r="A57" s="523"/>
      <c r="B57" s="547" t="s">
        <v>24</v>
      </c>
      <c r="C57" s="548"/>
      <c r="D57" s="548"/>
      <c r="E57" s="548"/>
    </row>
    <row r="58" spans="1:7" ht="14.25" customHeight="1" thickBot="1" x14ac:dyDescent="0.3">
      <c r="A58" s="549"/>
      <c r="B58" s="550"/>
      <c r="D58" s="551"/>
      <c r="F58" s="552"/>
      <c r="G58" s="552"/>
    </row>
    <row r="59" spans="1:7" ht="15" customHeight="1" x14ac:dyDescent="0.3">
      <c r="B59" s="553" t="s">
        <v>26</v>
      </c>
      <c r="C59" s="553"/>
      <c r="E59" s="554" t="s">
        <v>27</v>
      </c>
      <c r="F59" s="555"/>
      <c r="G59" s="554" t="s">
        <v>28</v>
      </c>
    </row>
    <row r="60" spans="1:7" ht="15" customHeight="1" x14ac:dyDescent="0.3">
      <c r="A60" s="556" t="s">
        <v>29</v>
      </c>
      <c r="B60" s="557"/>
      <c r="C60" s="557"/>
      <c r="E60" s="557"/>
      <c r="G60" s="557"/>
    </row>
    <row r="61" spans="1:7" ht="15" customHeight="1" x14ac:dyDescent="0.3">
      <c r="A61" s="556" t="s">
        <v>30</v>
      </c>
      <c r="B61" s="558"/>
      <c r="C61" s="558"/>
      <c r="E61" s="558"/>
      <c r="G61" s="5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5" zoomScale="41" zoomScaleNormal="40" zoomScalePageLayoutView="41" workbookViewId="0">
      <selection activeCell="B125" sqref="B125"/>
    </sheetView>
  </sheetViews>
  <sheetFormatPr defaultColWidth="9.140625" defaultRowHeight="13.5" x14ac:dyDescent="0.25"/>
  <cols>
    <col min="1" max="1" width="55.42578125" style="257" customWidth="1"/>
    <col min="2" max="2" width="33.7109375" style="257" customWidth="1"/>
    <col min="3" max="3" width="42.28515625" style="257" customWidth="1"/>
    <col min="4" max="4" width="30.5703125" style="257" customWidth="1"/>
    <col min="5" max="5" width="39.85546875" style="257" customWidth="1"/>
    <col min="6" max="6" width="30.7109375" style="257" customWidth="1"/>
    <col min="7" max="7" width="39.85546875" style="257" customWidth="1"/>
    <col min="8" max="8" width="30" style="257" customWidth="1"/>
    <col min="9" max="9" width="30.28515625" style="257" hidden="1" customWidth="1"/>
    <col min="10" max="10" width="30.42578125" style="257" customWidth="1"/>
    <col min="11" max="11" width="21.28515625" style="257" customWidth="1"/>
    <col min="12" max="12" width="9.140625" style="257"/>
    <col min="13" max="16384" width="9.140625" style="258"/>
  </cols>
  <sheetData>
    <row r="1" spans="1:9" ht="18.75" customHeight="1" x14ac:dyDescent="0.25">
      <c r="A1" s="457" t="s">
        <v>45</v>
      </c>
      <c r="B1" s="457"/>
      <c r="C1" s="457"/>
      <c r="D1" s="457"/>
      <c r="E1" s="457"/>
      <c r="F1" s="457"/>
      <c r="G1" s="457"/>
      <c r="H1" s="457"/>
      <c r="I1" s="457"/>
    </row>
    <row r="2" spans="1:9" ht="18.75" customHeight="1" x14ac:dyDescent="0.25">
      <c r="A2" s="457"/>
      <c r="B2" s="457"/>
      <c r="C2" s="457"/>
      <c r="D2" s="457"/>
      <c r="E2" s="457"/>
      <c r="F2" s="457"/>
      <c r="G2" s="457"/>
      <c r="H2" s="457"/>
      <c r="I2" s="457"/>
    </row>
    <row r="3" spans="1:9" ht="18.75" customHeight="1" x14ac:dyDescent="0.25">
      <c r="A3" s="457"/>
      <c r="B3" s="457"/>
      <c r="C3" s="457"/>
      <c r="D3" s="457"/>
      <c r="E3" s="457"/>
      <c r="F3" s="457"/>
      <c r="G3" s="457"/>
      <c r="H3" s="457"/>
      <c r="I3" s="457"/>
    </row>
    <row r="4" spans="1:9" ht="18.75" customHeight="1" x14ac:dyDescent="0.25">
      <c r="A4" s="457"/>
      <c r="B4" s="457"/>
      <c r="C4" s="457"/>
      <c r="D4" s="457"/>
      <c r="E4" s="457"/>
      <c r="F4" s="457"/>
      <c r="G4" s="457"/>
      <c r="H4" s="457"/>
      <c r="I4" s="457"/>
    </row>
    <row r="5" spans="1:9" ht="18.75" customHeight="1" x14ac:dyDescent="0.25">
      <c r="A5" s="457"/>
      <c r="B5" s="457"/>
      <c r="C5" s="457"/>
      <c r="D5" s="457"/>
      <c r="E5" s="457"/>
      <c r="F5" s="457"/>
      <c r="G5" s="457"/>
      <c r="H5" s="457"/>
      <c r="I5" s="457"/>
    </row>
    <row r="6" spans="1:9" ht="18.75" customHeight="1" x14ac:dyDescent="0.25">
      <c r="A6" s="457"/>
      <c r="B6" s="457"/>
      <c r="C6" s="457"/>
      <c r="D6" s="457"/>
      <c r="E6" s="457"/>
      <c r="F6" s="457"/>
      <c r="G6" s="457"/>
      <c r="H6" s="457"/>
      <c r="I6" s="457"/>
    </row>
    <row r="7" spans="1:9" ht="18.75" customHeight="1" x14ac:dyDescent="0.25">
      <c r="A7" s="457"/>
      <c r="B7" s="457"/>
      <c r="C7" s="457"/>
      <c r="D7" s="457"/>
      <c r="E7" s="457"/>
      <c r="F7" s="457"/>
      <c r="G7" s="457"/>
      <c r="H7" s="457"/>
      <c r="I7" s="457"/>
    </row>
    <row r="8" spans="1:9" x14ac:dyDescent="0.25">
      <c r="A8" s="458" t="s">
        <v>46</v>
      </c>
      <c r="B8" s="458"/>
      <c r="C8" s="458"/>
      <c r="D8" s="458"/>
      <c r="E8" s="458"/>
      <c r="F8" s="458"/>
      <c r="G8" s="458"/>
      <c r="H8" s="458"/>
      <c r="I8" s="458"/>
    </row>
    <row r="9" spans="1:9" x14ac:dyDescent="0.25">
      <c r="A9" s="458"/>
      <c r="B9" s="458"/>
      <c r="C9" s="458"/>
      <c r="D9" s="458"/>
      <c r="E9" s="458"/>
      <c r="F9" s="458"/>
      <c r="G9" s="458"/>
      <c r="H9" s="458"/>
      <c r="I9" s="458"/>
    </row>
    <row r="10" spans="1:9" x14ac:dyDescent="0.25">
      <c r="A10" s="458"/>
      <c r="B10" s="458"/>
      <c r="C10" s="458"/>
      <c r="D10" s="458"/>
      <c r="E10" s="458"/>
      <c r="F10" s="458"/>
      <c r="G10" s="458"/>
      <c r="H10" s="458"/>
      <c r="I10" s="458"/>
    </row>
    <row r="11" spans="1:9" x14ac:dyDescent="0.25">
      <c r="A11" s="458"/>
      <c r="B11" s="458"/>
      <c r="C11" s="458"/>
      <c r="D11" s="458"/>
      <c r="E11" s="458"/>
      <c r="F11" s="458"/>
      <c r="G11" s="458"/>
      <c r="H11" s="458"/>
      <c r="I11" s="458"/>
    </row>
    <row r="12" spans="1:9" x14ac:dyDescent="0.25">
      <c r="A12" s="458"/>
      <c r="B12" s="458"/>
      <c r="C12" s="458"/>
      <c r="D12" s="458"/>
      <c r="E12" s="458"/>
      <c r="F12" s="458"/>
      <c r="G12" s="458"/>
      <c r="H12" s="458"/>
      <c r="I12" s="458"/>
    </row>
    <row r="13" spans="1:9" x14ac:dyDescent="0.25">
      <c r="A13" s="458"/>
      <c r="B13" s="458"/>
      <c r="C13" s="458"/>
      <c r="D13" s="458"/>
      <c r="E13" s="458"/>
      <c r="F13" s="458"/>
      <c r="G13" s="458"/>
      <c r="H13" s="458"/>
      <c r="I13" s="458"/>
    </row>
    <row r="14" spans="1:9" x14ac:dyDescent="0.25">
      <c r="A14" s="458"/>
      <c r="B14" s="458"/>
      <c r="C14" s="458"/>
      <c r="D14" s="458"/>
      <c r="E14" s="458"/>
      <c r="F14" s="458"/>
      <c r="G14" s="458"/>
      <c r="H14" s="458"/>
      <c r="I14" s="458"/>
    </row>
    <row r="15" spans="1:9" ht="19.5" customHeight="1" thickBot="1" x14ac:dyDescent="0.35">
      <c r="A15" s="259"/>
    </row>
    <row r="16" spans="1:9" ht="19.5" customHeight="1" thickBot="1" x14ac:dyDescent="0.35">
      <c r="A16" s="459" t="s">
        <v>31</v>
      </c>
      <c r="B16" s="460"/>
      <c r="C16" s="460"/>
      <c r="D16" s="460"/>
      <c r="E16" s="460"/>
      <c r="F16" s="460"/>
      <c r="G16" s="460"/>
      <c r="H16" s="461"/>
    </row>
    <row r="17" spans="1:14" ht="20.25" customHeight="1" x14ac:dyDescent="0.25">
      <c r="A17" s="462" t="s">
        <v>47</v>
      </c>
      <c r="B17" s="462"/>
      <c r="C17" s="462"/>
      <c r="D17" s="462"/>
      <c r="E17" s="462"/>
      <c r="F17" s="462"/>
      <c r="G17" s="462"/>
      <c r="H17" s="462"/>
    </row>
    <row r="18" spans="1:14" ht="26.25" customHeight="1" x14ac:dyDescent="0.4">
      <c r="A18" s="260" t="s">
        <v>33</v>
      </c>
      <c r="B18" s="455" t="s">
        <v>131</v>
      </c>
      <c r="C18" s="455"/>
      <c r="D18" s="261"/>
      <c r="E18" s="262"/>
      <c r="F18" s="263"/>
      <c r="G18" s="263"/>
      <c r="H18" s="263"/>
    </row>
    <row r="19" spans="1:14" ht="26.25" customHeight="1" x14ac:dyDescent="0.4">
      <c r="A19" s="260" t="s">
        <v>34</v>
      </c>
      <c r="B19" s="264" t="s">
        <v>7</v>
      </c>
      <c r="C19" s="263">
        <v>1</v>
      </c>
      <c r="D19" s="263"/>
      <c r="E19" s="263"/>
      <c r="F19" s="263"/>
      <c r="G19" s="263"/>
      <c r="H19" s="263"/>
    </row>
    <row r="20" spans="1:14" ht="26.25" customHeight="1" x14ac:dyDescent="0.4">
      <c r="A20" s="260" t="s">
        <v>35</v>
      </c>
      <c r="B20" s="454" t="s">
        <v>9</v>
      </c>
      <c r="C20" s="454"/>
      <c r="D20" s="263"/>
      <c r="E20" s="263"/>
      <c r="F20" s="263"/>
      <c r="G20" s="263"/>
      <c r="H20" s="263"/>
    </row>
    <row r="21" spans="1:14" ht="26.25" customHeight="1" x14ac:dyDescent="0.4">
      <c r="A21" s="260" t="s">
        <v>36</v>
      </c>
      <c r="B21" s="454" t="s">
        <v>135</v>
      </c>
      <c r="C21" s="454"/>
      <c r="D21" s="454"/>
      <c r="E21" s="454"/>
      <c r="F21" s="454"/>
      <c r="G21" s="454"/>
      <c r="H21" s="454"/>
      <c r="I21" s="265"/>
    </row>
    <row r="22" spans="1:14" ht="26.25" customHeight="1" x14ac:dyDescent="0.4">
      <c r="A22" s="260" t="s">
        <v>37</v>
      </c>
      <c r="B22" s="266" t="s">
        <v>133</v>
      </c>
      <c r="C22" s="263"/>
      <c r="D22" s="263"/>
      <c r="E22" s="263"/>
      <c r="F22" s="263"/>
      <c r="G22" s="263"/>
      <c r="H22" s="263"/>
    </row>
    <row r="23" spans="1:14" ht="26.25" customHeight="1" x14ac:dyDescent="0.4">
      <c r="A23" s="260" t="s">
        <v>38</v>
      </c>
      <c r="B23" s="266">
        <v>42762</v>
      </c>
      <c r="C23" s="263"/>
      <c r="D23" s="263"/>
      <c r="E23" s="263"/>
      <c r="F23" s="263"/>
      <c r="G23" s="263"/>
      <c r="H23" s="263"/>
    </row>
    <row r="24" spans="1:14" ht="18.75" x14ac:dyDescent="0.3">
      <c r="A24" s="260"/>
      <c r="B24" s="267"/>
    </row>
    <row r="25" spans="1:14" ht="18.75" x14ac:dyDescent="0.3">
      <c r="A25" s="268" t="s">
        <v>1</v>
      </c>
      <c r="B25" s="267"/>
    </row>
    <row r="26" spans="1:14" ht="26.25" customHeight="1" x14ac:dyDescent="0.4">
      <c r="A26" s="269" t="s">
        <v>4</v>
      </c>
      <c r="B26" s="455" t="s">
        <v>136</v>
      </c>
      <c r="C26" s="455"/>
    </row>
    <row r="27" spans="1:14" ht="26.25" customHeight="1" x14ac:dyDescent="0.4">
      <c r="A27" s="270" t="s">
        <v>48</v>
      </c>
      <c r="B27" s="456" t="s">
        <v>137</v>
      </c>
      <c r="C27" s="456"/>
    </row>
    <row r="28" spans="1:14" ht="27" customHeight="1" thickBot="1" x14ac:dyDescent="0.45">
      <c r="A28" s="270" t="s">
        <v>6</v>
      </c>
      <c r="B28" s="271">
        <v>98.8</v>
      </c>
    </row>
    <row r="29" spans="1:14" s="273" customFormat="1" ht="27" customHeight="1" thickBot="1" x14ac:dyDescent="0.45">
      <c r="A29" s="270" t="s">
        <v>49</v>
      </c>
      <c r="B29" s="272">
        <v>0</v>
      </c>
      <c r="C29" s="434" t="s">
        <v>50</v>
      </c>
      <c r="D29" s="435"/>
      <c r="E29" s="435"/>
      <c r="F29" s="435"/>
      <c r="G29" s="436"/>
      <c r="I29" s="274"/>
      <c r="J29" s="274"/>
      <c r="K29" s="274"/>
      <c r="L29" s="274"/>
    </row>
    <row r="30" spans="1:14" s="273" customFormat="1" ht="19.5" customHeight="1" thickBot="1" x14ac:dyDescent="0.35">
      <c r="A30" s="270" t="s">
        <v>51</v>
      </c>
      <c r="B30" s="275">
        <f>B28-B29</f>
        <v>98.8</v>
      </c>
      <c r="C30" s="276"/>
      <c r="D30" s="276"/>
      <c r="E30" s="276"/>
      <c r="F30" s="276"/>
      <c r="G30" s="277"/>
      <c r="I30" s="274"/>
      <c r="J30" s="274"/>
      <c r="K30" s="274"/>
      <c r="L30" s="274"/>
    </row>
    <row r="31" spans="1:14" s="273" customFormat="1" ht="27" customHeight="1" thickBot="1" x14ac:dyDescent="0.45">
      <c r="A31" s="270" t="s">
        <v>52</v>
      </c>
      <c r="B31" s="278">
        <v>1</v>
      </c>
      <c r="C31" s="437" t="s">
        <v>53</v>
      </c>
      <c r="D31" s="438"/>
      <c r="E31" s="438"/>
      <c r="F31" s="438"/>
      <c r="G31" s="438"/>
      <c r="H31" s="439"/>
      <c r="I31" s="274"/>
      <c r="J31" s="274"/>
      <c r="K31" s="274"/>
      <c r="L31" s="274"/>
    </row>
    <row r="32" spans="1:14" s="273" customFormat="1" ht="27" customHeight="1" thickBot="1" x14ac:dyDescent="0.45">
      <c r="A32" s="270" t="s">
        <v>54</v>
      </c>
      <c r="B32" s="278">
        <v>1</v>
      </c>
      <c r="C32" s="437" t="s">
        <v>55</v>
      </c>
      <c r="D32" s="438"/>
      <c r="E32" s="438"/>
      <c r="F32" s="438"/>
      <c r="G32" s="438"/>
      <c r="H32" s="439"/>
      <c r="I32" s="274"/>
      <c r="J32" s="274"/>
      <c r="K32" s="274"/>
      <c r="L32" s="279"/>
      <c r="M32" s="279"/>
      <c r="N32" s="280"/>
    </row>
    <row r="33" spans="1:14" s="273" customFormat="1" ht="17.25" customHeight="1" x14ac:dyDescent="0.3">
      <c r="A33" s="270"/>
      <c r="B33" s="281"/>
      <c r="C33" s="282"/>
      <c r="D33" s="282"/>
      <c r="E33" s="282"/>
      <c r="F33" s="282"/>
      <c r="G33" s="282"/>
      <c r="H33" s="282"/>
      <c r="I33" s="274"/>
      <c r="J33" s="274"/>
      <c r="K33" s="274"/>
      <c r="L33" s="279"/>
      <c r="M33" s="279"/>
      <c r="N33" s="280"/>
    </row>
    <row r="34" spans="1:14" s="273" customFormat="1" ht="18.75" x14ac:dyDescent="0.3">
      <c r="A34" s="270" t="s">
        <v>56</v>
      </c>
      <c r="B34" s="283">
        <f>B31/B32</f>
        <v>1</v>
      </c>
      <c r="C34" s="259" t="s">
        <v>57</v>
      </c>
      <c r="D34" s="259"/>
      <c r="E34" s="259"/>
      <c r="F34" s="259"/>
      <c r="G34" s="259"/>
      <c r="I34" s="274"/>
      <c r="J34" s="274"/>
      <c r="K34" s="274"/>
      <c r="L34" s="279"/>
      <c r="M34" s="279"/>
      <c r="N34" s="280"/>
    </row>
    <row r="35" spans="1:14" s="273" customFormat="1" ht="19.5" customHeight="1" thickBot="1" x14ac:dyDescent="0.35">
      <c r="A35" s="270"/>
      <c r="B35" s="275"/>
      <c r="G35" s="259"/>
      <c r="I35" s="274"/>
      <c r="J35" s="274"/>
      <c r="K35" s="274"/>
      <c r="L35" s="279"/>
      <c r="M35" s="279"/>
      <c r="N35" s="280"/>
    </row>
    <row r="36" spans="1:14" s="273" customFormat="1" ht="27" customHeight="1" thickBot="1" x14ac:dyDescent="0.45">
      <c r="A36" s="284" t="s">
        <v>58</v>
      </c>
      <c r="B36" s="285">
        <v>50</v>
      </c>
      <c r="C36" s="259"/>
      <c r="D36" s="440" t="s">
        <v>59</v>
      </c>
      <c r="E36" s="453"/>
      <c r="F36" s="440" t="s">
        <v>60</v>
      </c>
      <c r="G36" s="441"/>
      <c r="J36" s="274"/>
      <c r="K36" s="274"/>
      <c r="L36" s="279"/>
      <c r="M36" s="279"/>
      <c r="N36" s="280"/>
    </row>
    <row r="37" spans="1:14" s="273" customFormat="1" ht="27" customHeight="1" thickBot="1" x14ac:dyDescent="0.45">
      <c r="A37" s="286" t="s">
        <v>61</v>
      </c>
      <c r="B37" s="287">
        <v>10</v>
      </c>
      <c r="C37" s="288" t="s">
        <v>62</v>
      </c>
      <c r="D37" s="289" t="s">
        <v>63</v>
      </c>
      <c r="E37" s="290" t="s">
        <v>64</v>
      </c>
      <c r="F37" s="289" t="s">
        <v>63</v>
      </c>
      <c r="G37" s="291" t="s">
        <v>64</v>
      </c>
      <c r="I37" s="292" t="s">
        <v>65</v>
      </c>
      <c r="J37" s="274"/>
      <c r="K37" s="274"/>
      <c r="L37" s="279"/>
      <c r="M37" s="279"/>
      <c r="N37" s="280"/>
    </row>
    <row r="38" spans="1:14" s="273" customFormat="1" ht="26.25" customHeight="1" x14ac:dyDescent="0.4">
      <c r="A38" s="286" t="s">
        <v>66</v>
      </c>
      <c r="B38" s="287">
        <v>25</v>
      </c>
      <c r="C38" s="293">
        <v>1</v>
      </c>
      <c r="D38" s="294">
        <v>12238309</v>
      </c>
      <c r="E38" s="295">
        <f>IF(ISBLANK(D38),"-",$D$48/$D$45*D38)</f>
        <v>13038897.293841895</v>
      </c>
      <c r="F38" s="294">
        <v>12871006</v>
      </c>
      <c r="G38" s="296">
        <f>IF(ISBLANK(F38),"-",$D$48/$F$45*F38)</f>
        <v>13097185.664977044</v>
      </c>
      <c r="I38" s="297"/>
      <c r="J38" s="274"/>
      <c r="K38" s="274"/>
      <c r="L38" s="279"/>
      <c r="M38" s="279"/>
      <c r="N38" s="280"/>
    </row>
    <row r="39" spans="1:14" s="273" customFormat="1" ht="26.25" customHeight="1" x14ac:dyDescent="0.4">
      <c r="A39" s="286" t="s">
        <v>67</v>
      </c>
      <c r="B39" s="287">
        <v>1</v>
      </c>
      <c r="C39" s="298">
        <v>2</v>
      </c>
      <c r="D39" s="299">
        <v>12244061</v>
      </c>
      <c r="E39" s="300">
        <f>IF(ISBLANK(D39),"-",$D$48/$D$45*D39)</f>
        <v>13045025.569997871</v>
      </c>
      <c r="F39" s="299">
        <v>12894500</v>
      </c>
      <c r="G39" s="301">
        <f>IF(ISBLANK(F39),"-",$D$48/$F$45*F39)</f>
        <v>13121092.520432862</v>
      </c>
      <c r="I39" s="422">
        <f>ABS((F43/D43*D42)-F42)/D42</f>
        <v>2.9046621659336146E-3</v>
      </c>
      <c r="J39" s="274"/>
      <c r="K39" s="274"/>
      <c r="L39" s="279"/>
      <c r="M39" s="279"/>
      <c r="N39" s="280"/>
    </row>
    <row r="40" spans="1:14" ht="26.25" customHeight="1" x14ac:dyDescent="0.4">
      <c r="A40" s="286" t="s">
        <v>68</v>
      </c>
      <c r="B40" s="287">
        <v>1</v>
      </c>
      <c r="C40" s="298">
        <v>3</v>
      </c>
      <c r="D40" s="299">
        <v>12306469</v>
      </c>
      <c r="E40" s="300">
        <f>IF(ISBLANK(D40),"-",$D$48/$D$45*D40)</f>
        <v>13111516.087790327</v>
      </c>
      <c r="F40" s="299">
        <v>12859913</v>
      </c>
      <c r="G40" s="301">
        <f>IF(ISBLANK(F40),"-",$D$48/$F$45*F40)</f>
        <v>13085897.729862913</v>
      </c>
      <c r="I40" s="422"/>
      <c r="L40" s="279"/>
      <c r="M40" s="279"/>
      <c r="N40" s="259"/>
    </row>
    <row r="41" spans="1:14" ht="27" customHeight="1" thickBot="1" x14ac:dyDescent="0.45">
      <c r="A41" s="286" t="s">
        <v>69</v>
      </c>
      <c r="B41" s="287">
        <v>1</v>
      </c>
      <c r="C41" s="302">
        <v>4</v>
      </c>
      <c r="D41" s="303"/>
      <c r="E41" s="304" t="str">
        <f>IF(ISBLANK(D41),"-",$D$48/$D$45*D41)</f>
        <v>-</v>
      </c>
      <c r="F41" s="303"/>
      <c r="G41" s="305" t="str">
        <f>IF(ISBLANK(F41),"-",$D$48/$F$45*F41)</f>
        <v>-</v>
      </c>
      <c r="I41" s="306"/>
      <c r="L41" s="279"/>
      <c r="M41" s="279"/>
      <c r="N41" s="259"/>
    </row>
    <row r="42" spans="1:14" ht="27" customHeight="1" thickBot="1" x14ac:dyDescent="0.45">
      <c r="A42" s="286" t="s">
        <v>70</v>
      </c>
      <c r="B42" s="287">
        <v>1</v>
      </c>
      <c r="C42" s="307" t="s">
        <v>71</v>
      </c>
      <c r="D42" s="308">
        <f>AVERAGE(D38:D41)</f>
        <v>12262946.333333334</v>
      </c>
      <c r="E42" s="309">
        <f>AVERAGE(E38:E41)</f>
        <v>13065146.317210032</v>
      </c>
      <c r="F42" s="308">
        <f>AVERAGE(F38:F41)</f>
        <v>12875139.666666666</v>
      </c>
      <c r="G42" s="310">
        <f>AVERAGE(G38:G41)</f>
        <v>13101391.971757606</v>
      </c>
      <c r="H42" s="311"/>
    </row>
    <row r="43" spans="1:14" ht="26.25" customHeight="1" x14ac:dyDescent="0.4">
      <c r="A43" s="286" t="s">
        <v>72</v>
      </c>
      <c r="B43" s="287">
        <v>1</v>
      </c>
      <c r="C43" s="312" t="s">
        <v>73</v>
      </c>
      <c r="D43" s="313">
        <v>14.25</v>
      </c>
      <c r="E43" s="259"/>
      <c r="F43" s="313">
        <v>14.92</v>
      </c>
      <c r="H43" s="311"/>
    </row>
    <row r="44" spans="1:14" ht="26.25" customHeight="1" x14ac:dyDescent="0.4">
      <c r="A44" s="286" t="s">
        <v>74</v>
      </c>
      <c r="B44" s="287">
        <v>1</v>
      </c>
      <c r="C44" s="314" t="s">
        <v>75</v>
      </c>
      <c r="D44" s="315">
        <f>D43*$B$34</f>
        <v>14.25</v>
      </c>
      <c r="E44" s="316"/>
      <c r="F44" s="315">
        <f>F43*$B$34</f>
        <v>14.92</v>
      </c>
      <c r="H44" s="311"/>
    </row>
    <row r="45" spans="1:14" ht="19.5" customHeight="1" thickBot="1" x14ac:dyDescent="0.35">
      <c r="A45" s="286" t="s">
        <v>76</v>
      </c>
      <c r="B45" s="298">
        <f>(B44/B43)*(B42/B41)*(B40/B39)*(B38/B37)*B36</f>
        <v>125</v>
      </c>
      <c r="C45" s="314" t="s">
        <v>77</v>
      </c>
      <c r="D45" s="317">
        <f>D44*$B$30/100</f>
        <v>14.078999999999999</v>
      </c>
      <c r="E45" s="318"/>
      <c r="F45" s="317">
        <f>F44*$B$30/100</f>
        <v>14.740959999999999</v>
      </c>
      <c r="H45" s="311"/>
    </row>
    <row r="46" spans="1:14" ht="19.5" customHeight="1" thickBot="1" x14ac:dyDescent="0.35">
      <c r="A46" s="423" t="s">
        <v>78</v>
      </c>
      <c r="B46" s="427"/>
      <c r="C46" s="314" t="s">
        <v>79</v>
      </c>
      <c r="D46" s="319">
        <f>D45/$B$45</f>
        <v>0.112632</v>
      </c>
      <c r="E46" s="320"/>
      <c r="F46" s="321">
        <f>F45/$B$45</f>
        <v>0.11792767999999999</v>
      </c>
      <c r="H46" s="311"/>
    </row>
    <row r="47" spans="1:14" ht="27" customHeight="1" thickBot="1" x14ac:dyDescent="0.45">
      <c r="A47" s="425"/>
      <c r="B47" s="428"/>
      <c r="C47" s="322" t="s">
        <v>80</v>
      </c>
      <c r="D47" s="323">
        <v>0.12</v>
      </c>
      <c r="E47" s="324"/>
      <c r="F47" s="320"/>
      <c r="H47" s="311"/>
    </row>
    <row r="48" spans="1:14" ht="18.75" x14ac:dyDescent="0.3">
      <c r="C48" s="325" t="s">
        <v>81</v>
      </c>
      <c r="D48" s="317">
        <f>D47*$B$45</f>
        <v>15</v>
      </c>
      <c r="F48" s="326"/>
      <c r="H48" s="311"/>
    </row>
    <row r="49" spans="1:12" ht="19.5" customHeight="1" thickBot="1" x14ac:dyDescent="0.35">
      <c r="C49" s="327" t="s">
        <v>82</v>
      </c>
      <c r="D49" s="328">
        <f>D48/B34</f>
        <v>15</v>
      </c>
      <c r="F49" s="326"/>
      <c r="H49" s="311"/>
    </row>
    <row r="50" spans="1:12" ht="18.75" x14ac:dyDescent="0.3">
      <c r="C50" s="284" t="s">
        <v>83</v>
      </c>
      <c r="D50" s="329">
        <f>AVERAGE(E38:E41,G38:G41)</f>
        <v>13083269.14448382</v>
      </c>
      <c r="F50" s="330"/>
      <c r="H50" s="311"/>
    </row>
    <row r="51" spans="1:12" ht="18.75" x14ac:dyDescent="0.3">
      <c r="C51" s="286" t="s">
        <v>84</v>
      </c>
      <c r="D51" s="331">
        <f>STDEV(E38:E41,G38:G41)/D50</f>
        <v>2.6167749854041941E-3</v>
      </c>
      <c r="F51" s="330"/>
      <c r="H51" s="311"/>
    </row>
    <row r="52" spans="1:12" ht="19.5" customHeight="1" thickBot="1" x14ac:dyDescent="0.35">
      <c r="C52" s="332" t="s">
        <v>20</v>
      </c>
      <c r="D52" s="333">
        <f>COUNT(E38:E41,G38:G41)</f>
        <v>6</v>
      </c>
      <c r="F52" s="330"/>
    </row>
    <row r="54" spans="1:12" ht="18.75" x14ac:dyDescent="0.3">
      <c r="A54" s="334" t="s">
        <v>1</v>
      </c>
      <c r="B54" s="335" t="s">
        <v>85</v>
      </c>
    </row>
    <row r="55" spans="1:12" ht="18.75" x14ac:dyDescent="0.3">
      <c r="A55" s="259" t="s">
        <v>86</v>
      </c>
      <c r="B55" s="336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336" t="s">
        <v>87</v>
      </c>
      <c r="B56" s="337">
        <v>300</v>
      </c>
      <c r="C56" s="259" t="str">
        <f>B20</f>
        <v>Lamivudine and Tenofovir Disoproxil Fumarate</v>
      </c>
      <c r="H56" s="316"/>
    </row>
    <row r="57" spans="1:12" ht="18.75" x14ac:dyDescent="0.3">
      <c r="A57" s="336" t="s">
        <v>88</v>
      </c>
      <c r="B57" s="338">
        <f>[1]Uniformity!C46</f>
        <v>869.21750000000009</v>
      </c>
      <c r="H57" s="316"/>
    </row>
    <row r="58" spans="1:12" ht="19.5" customHeight="1" thickBot="1" x14ac:dyDescent="0.35">
      <c r="H58" s="316"/>
    </row>
    <row r="59" spans="1:12" s="273" customFormat="1" ht="27" customHeight="1" thickBot="1" x14ac:dyDescent="0.45">
      <c r="A59" s="284" t="s">
        <v>89</v>
      </c>
      <c r="B59" s="285">
        <v>200</v>
      </c>
      <c r="C59" s="259"/>
      <c r="D59" s="339" t="s">
        <v>90</v>
      </c>
      <c r="E59" s="340" t="s">
        <v>62</v>
      </c>
      <c r="F59" s="340" t="s">
        <v>63</v>
      </c>
      <c r="G59" s="340" t="s">
        <v>91</v>
      </c>
      <c r="H59" s="288" t="s">
        <v>92</v>
      </c>
      <c r="L59" s="274"/>
    </row>
    <row r="60" spans="1:12" s="273" customFormat="1" ht="26.25" customHeight="1" x14ac:dyDescent="0.4">
      <c r="A60" s="286" t="s">
        <v>93</v>
      </c>
      <c r="B60" s="287">
        <v>4</v>
      </c>
      <c r="C60" s="442" t="s">
        <v>94</v>
      </c>
      <c r="D60" s="445">
        <v>870.45</v>
      </c>
      <c r="E60" s="341">
        <v>1</v>
      </c>
      <c r="F60" s="342">
        <v>12454269</v>
      </c>
      <c r="G60" s="343">
        <f>IF(ISBLANK(F60),"-",(F60/$D$50*$D$47*$B$68)*($B$57/$D$60))</f>
        <v>285.17263772904869</v>
      </c>
      <c r="H60" s="344">
        <f t="shared" ref="H60:H71" si="0">IF(ISBLANK(F60),"-",(G60/$B$56)*100)</f>
        <v>95.057545909682901</v>
      </c>
      <c r="L60" s="274"/>
    </row>
    <row r="61" spans="1:12" s="273" customFormat="1" ht="26.25" customHeight="1" x14ac:dyDescent="0.4">
      <c r="A61" s="286" t="s">
        <v>95</v>
      </c>
      <c r="B61" s="287">
        <v>50</v>
      </c>
      <c r="C61" s="443"/>
      <c r="D61" s="446"/>
      <c r="E61" s="345">
        <v>2</v>
      </c>
      <c r="F61" s="299">
        <v>12381701</v>
      </c>
      <c r="G61" s="346">
        <f>IF(ISBLANK(F61),"-",(F61/$D$50*$D$47*$B$68)*($B$57/$D$60))</f>
        <v>283.51100604478671</v>
      </c>
      <c r="H61" s="347">
        <f t="shared" si="0"/>
        <v>94.50366868159557</v>
      </c>
      <c r="L61" s="274"/>
    </row>
    <row r="62" spans="1:12" s="273" customFormat="1" ht="26.25" customHeight="1" x14ac:dyDescent="0.4">
      <c r="A62" s="286" t="s">
        <v>96</v>
      </c>
      <c r="B62" s="287">
        <v>1</v>
      </c>
      <c r="C62" s="443"/>
      <c r="D62" s="446"/>
      <c r="E62" s="345">
        <v>3</v>
      </c>
      <c r="F62" s="348">
        <v>12310413</v>
      </c>
      <c r="G62" s="346">
        <f>IF(ISBLANK(F62),"-",(F62/$D$50*$D$47*$B$68)*($B$57/$D$60))</f>
        <v>281.87868326466787</v>
      </c>
      <c r="H62" s="347">
        <f t="shared" si="0"/>
        <v>93.959561088222614</v>
      </c>
      <c r="L62" s="274"/>
    </row>
    <row r="63" spans="1:12" ht="27" customHeight="1" thickBot="1" x14ac:dyDescent="0.45">
      <c r="A63" s="286" t="s">
        <v>97</v>
      </c>
      <c r="B63" s="287">
        <v>1</v>
      </c>
      <c r="C63" s="444"/>
      <c r="D63" s="447"/>
      <c r="E63" s="349">
        <v>4</v>
      </c>
      <c r="F63" s="350"/>
      <c r="G63" s="346" t="str">
        <f>IF(ISBLANK(F63),"-",(F63/$D$50*$D$47*$B$68)*($B$57/$D$60))</f>
        <v>-</v>
      </c>
      <c r="H63" s="347" t="str">
        <f t="shared" si="0"/>
        <v>-</v>
      </c>
    </row>
    <row r="64" spans="1:12" ht="26.25" customHeight="1" x14ac:dyDescent="0.4">
      <c r="A64" s="286" t="s">
        <v>98</v>
      </c>
      <c r="B64" s="287">
        <v>1</v>
      </c>
      <c r="C64" s="442" t="s">
        <v>99</v>
      </c>
      <c r="D64" s="445">
        <v>883.47</v>
      </c>
      <c r="E64" s="341">
        <v>1</v>
      </c>
      <c r="F64" s="342">
        <v>12935531</v>
      </c>
      <c r="G64" s="343">
        <f>IF(ISBLANK(F64),"-",(F64/$D$50*$D$47*$B$68)*($B$57/$D$64))</f>
        <v>291.82728506856211</v>
      </c>
      <c r="H64" s="344">
        <f t="shared" si="0"/>
        <v>97.275761689520706</v>
      </c>
    </row>
    <row r="65" spans="1:8" ht="26.25" customHeight="1" x14ac:dyDescent="0.4">
      <c r="A65" s="286" t="s">
        <v>100</v>
      </c>
      <c r="B65" s="287">
        <v>1</v>
      </c>
      <c r="C65" s="443"/>
      <c r="D65" s="446"/>
      <c r="E65" s="345">
        <v>2</v>
      </c>
      <c r="F65" s="299">
        <v>12984138</v>
      </c>
      <c r="G65" s="346">
        <f>IF(ISBLANK(F65),"-",(F65/$D$50*$D$47*$B$68)*($B$57/$D$64))</f>
        <v>292.92386539799173</v>
      </c>
      <c r="H65" s="347">
        <f t="shared" si="0"/>
        <v>97.641288465997249</v>
      </c>
    </row>
    <row r="66" spans="1:8" ht="26.25" customHeight="1" x14ac:dyDescent="0.4">
      <c r="A66" s="286" t="s">
        <v>101</v>
      </c>
      <c r="B66" s="287">
        <v>1</v>
      </c>
      <c r="C66" s="443"/>
      <c r="D66" s="446"/>
      <c r="E66" s="345">
        <v>3</v>
      </c>
      <c r="F66" s="299">
        <v>12993417</v>
      </c>
      <c r="G66" s="346">
        <f>IF(ISBLANK(F66),"-",(F66/$D$50*$D$47*$B$68)*($B$57/$D$64))</f>
        <v>293.13320086154181</v>
      </c>
      <c r="H66" s="347">
        <f t="shared" si="0"/>
        <v>97.711066953847265</v>
      </c>
    </row>
    <row r="67" spans="1:8" ht="27" customHeight="1" thickBot="1" x14ac:dyDescent="0.45">
      <c r="A67" s="286" t="s">
        <v>102</v>
      </c>
      <c r="B67" s="287">
        <v>1</v>
      </c>
      <c r="C67" s="444"/>
      <c r="D67" s="447"/>
      <c r="E67" s="349">
        <v>4</v>
      </c>
      <c r="F67" s="350"/>
      <c r="G67" s="351" t="str">
        <f>IF(ISBLANK(F67),"-",(F67/$D$50*$D$47*$B$68)*($B$57/$D$64))</f>
        <v>-</v>
      </c>
      <c r="H67" s="352" t="str">
        <f t="shared" si="0"/>
        <v>-</v>
      </c>
    </row>
    <row r="68" spans="1:8" ht="26.25" customHeight="1" x14ac:dyDescent="0.4">
      <c r="A68" s="286" t="s">
        <v>103</v>
      </c>
      <c r="B68" s="353">
        <f>(B67/B66)*(B65/B64)*(B63/B62)*(B61/B60)*B59</f>
        <v>2500</v>
      </c>
      <c r="C68" s="442" t="s">
        <v>104</v>
      </c>
      <c r="D68" s="445">
        <v>872.68</v>
      </c>
      <c r="E68" s="341">
        <v>1</v>
      </c>
      <c r="F68" s="342">
        <v>12397224</v>
      </c>
      <c r="G68" s="343">
        <f>IF(ISBLANK(F68),"-",(F68/$D$50*$D$47*$B$68)*($B$57/$D$68))</f>
        <v>283.14106800267143</v>
      </c>
      <c r="H68" s="347">
        <f t="shared" si="0"/>
        <v>94.380356000890473</v>
      </c>
    </row>
    <row r="69" spans="1:8" ht="27" customHeight="1" thickBot="1" x14ac:dyDescent="0.45">
      <c r="A69" s="332" t="s">
        <v>105</v>
      </c>
      <c r="B69" s="354">
        <f>(D47*B68)/B56*B57</f>
        <v>869.21750000000009</v>
      </c>
      <c r="C69" s="443"/>
      <c r="D69" s="446"/>
      <c r="E69" s="345">
        <v>2</v>
      </c>
      <c r="F69" s="299">
        <v>12414696</v>
      </c>
      <c r="G69" s="346">
        <f>IF(ISBLANK(F69),"-",(F69/$D$50*$D$47*$B$68)*($B$57/$D$68))</f>
        <v>283.54011223548861</v>
      </c>
      <c r="H69" s="347">
        <f t="shared" si="0"/>
        <v>94.513370745162874</v>
      </c>
    </row>
    <row r="70" spans="1:8" ht="26.25" customHeight="1" x14ac:dyDescent="0.4">
      <c r="A70" s="449" t="s">
        <v>78</v>
      </c>
      <c r="B70" s="450"/>
      <c r="C70" s="443"/>
      <c r="D70" s="446"/>
      <c r="E70" s="345">
        <v>3</v>
      </c>
      <c r="F70" s="299">
        <v>12429855</v>
      </c>
      <c r="G70" s="346">
        <f>IF(ISBLANK(F70),"-",(F70/$D$50*$D$47*$B$68)*($B$57/$D$68))</f>
        <v>283.88632969916051</v>
      </c>
      <c r="H70" s="347">
        <f t="shared" si="0"/>
        <v>94.628776566386847</v>
      </c>
    </row>
    <row r="71" spans="1:8" ht="27" customHeight="1" thickBot="1" x14ac:dyDescent="0.45">
      <c r="A71" s="451"/>
      <c r="B71" s="452"/>
      <c r="C71" s="448"/>
      <c r="D71" s="447"/>
      <c r="E71" s="349">
        <v>4</v>
      </c>
      <c r="F71" s="350"/>
      <c r="G71" s="351" t="str">
        <f>IF(ISBLANK(F71),"-",(F71/$D$50*$D$47*$B$68)*($B$57/$D$68))</f>
        <v>-</v>
      </c>
      <c r="H71" s="352" t="str">
        <f t="shared" si="0"/>
        <v>-</v>
      </c>
    </row>
    <row r="72" spans="1:8" ht="26.25" customHeight="1" x14ac:dyDescent="0.4">
      <c r="A72" s="316"/>
      <c r="B72" s="316"/>
      <c r="C72" s="316"/>
      <c r="D72" s="316"/>
      <c r="E72" s="316"/>
      <c r="F72" s="355" t="s">
        <v>71</v>
      </c>
      <c r="G72" s="356">
        <f>AVERAGE(G60:G71)</f>
        <v>286.55713203376882</v>
      </c>
      <c r="H72" s="357">
        <f>AVERAGE(H60:H71)</f>
        <v>95.519044011256284</v>
      </c>
    </row>
    <row r="73" spans="1:8" ht="26.25" customHeight="1" x14ac:dyDescent="0.4">
      <c r="C73" s="316"/>
      <c r="D73" s="316"/>
      <c r="E73" s="316"/>
      <c r="F73" s="358" t="s">
        <v>84</v>
      </c>
      <c r="G73" s="359">
        <f>STDEV(G60:G71)/G72</f>
        <v>1.620662808008146E-2</v>
      </c>
      <c r="H73" s="359">
        <f>STDEV(H60:H71)/H72</f>
        <v>1.620662808008147E-2</v>
      </c>
    </row>
    <row r="74" spans="1:8" ht="27" customHeight="1" thickBot="1" x14ac:dyDescent="0.45">
      <c r="A74" s="316"/>
      <c r="B74" s="316"/>
      <c r="C74" s="316"/>
      <c r="D74" s="316"/>
      <c r="E74" s="318"/>
      <c r="F74" s="360" t="s">
        <v>20</v>
      </c>
      <c r="G74" s="361">
        <f>COUNT(G60:G71)</f>
        <v>9</v>
      </c>
      <c r="H74" s="361">
        <f>COUNT(H60:H71)</f>
        <v>9</v>
      </c>
    </row>
    <row r="76" spans="1:8" ht="26.25" customHeight="1" x14ac:dyDescent="0.4">
      <c r="A76" s="269" t="s">
        <v>106</v>
      </c>
      <c r="B76" s="270" t="s">
        <v>107</v>
      </c>
      <c r="C76" s="431" t="str">
        <f>B26</f>
        <v>Tenofovir Disoproxil Fumurate</v>
      </c>
      <c r="D76" s="431"/>
      <c r="E76" s="259" t="s">
        <v>108</v>
      </c>
      <c r="F76" s="259"/>
      <c r="G76" s="362">
        <f>H72</f>
        <v>95.519044011256284</v>
      </c>
      <c r="H76" s="275"/>
    </row>
    <row r="77" spans="1:8" ht="18.75" x14ac:dyDescent="0.3">
      <c r="A77" s="268" t="s">
        <v>109</v>
      </c>
      <c r="B77" s="268" t="s">
        <v>110</v>
      </c>
    </row>
    <row r="78" spans="1:8" ht="18.75" x14ac:dyDescent="0.3">
      <c r="A78" s="268"/>
      <c r="B78" s="268"/>
    </row>
    <row r="79" spans="1:8" ht="26.25" customHeight="1" x14ac:dyDescent="0.4">
      <c r="A79" s="269" t="s">
        <v>4</v>
      </c>
      <c r="B79" s="433" t="str">
        <f>B26</f>
        <v>Tenofovir Disoproxil Fumurate</v>
      </c>
      <c r="C79" s="433"/>
    </row>
    <row r="80" spans="1:8" ht="26.25" customHeight="1" x14ac:dyDescent="0.4">
      <c r="A80" s="270" t="s">
        <v>48</v>
      </c>
      <c r="B80" s="433" t="str">
        <f>B27</f>
        <v>T11-8</v>
      </c>
      <c r="C80" s="433"/>
    </row>
    <row r="81" spans="1:12" ht="27" customHeight="1" thickBot="1" x14ac:dyDescent="0.45">
      <c r="A81" s="270" t="s">
        <v>6</v>
      </c>
      <c r="B81" s="271">
        <f>B28</f>
        <v>98.8</v>
      </c>
    </row>
    <row r="82" spans="1:12" s="273" customFormat="1" ht="27" customHeight="1" thickBot="1" x14ac:dyDescent="0.45">
      <c r="A82" s="270" t="s">
        <v>49</v>
      </c>
      <c r="B82" s="272">
        <v>0</v>
      </c>
      <c r="C82" s="434" t="s">
        <v>50</v>
      </c>
      <c r="D82" s="435"/>
      <c r="E82" s="435"/>
      <c r="F82" s="435"/>
      <c r="G82" s="436"/>
      <c r="I82" s="274"/>
      <c r="J82" s="274"/>
      <c r="K82" s="274"/>
      <c r="L82" s="274"/>
    </row>
    <row r="83" spans="1:12" s="273" customFormat="1" ht="19.5" customHeight="1" thickBot="1" x14ac:dyDescent="0.35">
      <c r="A83" s="270" t="s">
        <v>51</v>
      </c>
      <c r="B83" s="275">
        <f>B81-B82</f>
        <v>98.8</v>
      </c>
      <c r="C83" s="276"/>
      <c r="D83" s="276"/>
      <c r="E83" s="276"/>
      <c r="F83" s="276"/>
      <c r="G83" s="277"/>
      <c r="I83" s="274"/>
      <c r="J83" s="274"/>
      <c r="K83" s="274"/>
      <c r="L83" s="274"/>
    </row>
    <row r="84" spans="1:12" s="273" customFormat="1" ht="27" customHeight="1" thickBot="1" x14ac:dyDescent="0.45">
      <c r="A84" s="270" t="s">
        <v>52</v>
      </c>
      <c r="B84" s="278">
        <v>1</v>
      </c>
      <c r="C84" s="437" t="s">
        <v>111</v>
      </c>
      <c r="D84" s="438"/>
      <c r="E84" s="438"/>
      <c r="F84" s="438"/>
      <c r="G84" s="438"/>
      <c r="H84" s="439"/>
      <c r="I84" s="274"/>
      <c r="J84" s="274"/>
      <c r="K84" s="274"/>
      <c r="L84" s="274"/>
    </row>
    <row r="85" spans="1:12" s="273" customFormat="1" ht="27" customHeight="1" thickBot="1" x14ac:dyDescent="0.45">
      <c r="A85" s="270" t="s">
        <v>54</v>
      </c>
      <c r="B85" s="278">
        <v>1</v>
      </c>
      <c r="C85" s="437" t="s">
        <v>112</v>
      </c>
      <c r="D85" s="438"/>
      <c r="E85" s="438"/>
      <c r="F85" s="438"/>
      <c r="G85" s="438"/>
      <c r="H85" s="439"/>
      <c r="I85" s="274"/>
      <c r="J85" s="274"/>
      <c r="K85" s="274"/>
      <c r="L85" s="274"/>
    </row>
    <row r="86" spans="1:12" s="273" customFormat="1" ht="18.75" x14ac:dyDescent="0.3">
      <c r="A86" s="270"/>
      <c r="B86" s="281"/>
      <c r="C86" s="282"/>
      <c r="D86" s="282"/>
      <c r="E86" s="282"/>
      <c r="F86" s="282"/>
      <c r="G86" s="282"/>
      <c r="H86" s="282"/>
      <c r="I86" s="274"/>
      <c r="J86" s="274"/>
      <c r="K86" s="274"/>
      <c r="L86" s="274"/>
    </row>
    <row r="87" spans="1:12" s="273" customFormat="1" ht="18.75" x14ac:dyDescent="0.3">
      <c r="A87" s="270" t="s">
        <v>56</v>
      </c>
      <c r="B87" s="283">
        <f>B84/B85</f>
        <v>1</v>
      </c>
      <c r="C87" s="259" t="s">
        <v>57</v>
      </c>
      <c r="D87" s="259"/>
      <c r="E87" s="259"/>
      <c r="F87" s="259"/>
      <c r="G87" s="259"/>
      <c r="I87" s="274"/>
      <c r="J87" s="274"/>
      <c r="K87" s="274"/>
      <c r="L87" s="274"/>
    </row>
    <row r="88" spans="1:12" ht="19.5" customHeight="1" thickBot="1" x14ac:dyDescent="0.35">
      <c r="A88" s="268"/>
      <c r="B88" s="268"/>
    </row>
    <row r="89" spans="1:12" ht="27" customHeight="1" thickBot="1" x14ac:dyDescent="0.45">
      <c r="A89" s="284" t="s">
        <v>58</v>
      </c>
      <c r="B89" s="285">
        <v>50</v>
      </c>
      <c r="D89" s="363" t="s">
        <v>59</v>
      </c>
      <c r="E89" s="364"/>
      <c r="F89" s="440" t="s">
        <v>60</v>
      </c>
      <c r="G89" s="441"/>
    </row>
    <row r="90" spans="1:12" ht="27" customHeight="1" thickBot="1" x14ac:dyDescent="0.45">
      <c r="A90" s="286" t="s">
        <v>61</v>
      </c>
      <c r="B90" s="287">
        <v>1</v>
      </c>
      <c r="C90" s="365" t="s">
        <v>62</v>
      </c>
      <c r="D90" s="289" t="s">
        <v>63</v>
      </c>
      <c r="E90" s="290" t="s">
        <v>64</v>
      </c>
      <c r="F90" s="289" t="s">
        <v>63</v>
      </c>
      <c r="G90" s="366" t="s">
        <v>64</v>
      </c>
      <c r="I90" s="292" t="s">
        <v>65</v>
      </c>
    </row>
    <row r="91" spans="1:12" ht="26.25" customHeight="1" x14ac:dyDescent="0.4">
      <c r="A91" s="286" t="s">
        <v>66</v>
      </c>
      <c r="B91" s="287">
        <v>1</v>
      </c>
      <c r="C91" s="367">
        <v>1</v>
      </c>
      <c r="D91" s="294">
        <v>32849414</v>
      </c>
      <c r="E91" s="295">
        <f>IF(ISBLANK(D91),"-",$D$101/$D$98*D91)</f>
        <v>29668406.963273749</v>
      </c>
      <c r="F91" s="294">
        <v>31200378</v>
      </c>
      <c r="G91" s="296">
        <f>IF(ISBLANK(F91),"-",$D$101/$F$98*F91)</f>
        <v>30248400.344362237</v>
      </c>
      <c r="I91" s="297"/>
    </row>
    <row r="92" spans="1:12" ht="26.25" customHeight="1" x14ac:dyDescent="0.4">
      <c r="A92" s="286" t="s">
        <v>67</v>
      </c>
      <c r="B92" s="287">
        <v>1</v>
      </c>
      <c r="C92" s="316">
        <v>2</v>
      </c>
      <c r="D92" s="299">
        <v>33153178</v>
      </c>
      <c r="E92" s="300">
        <f>IF(ISBLANK(D92),"-",$D$101/$D$98*D92)</f>
        <v>29942755.661633842</v>
      </c>
      <c r="F92" s="299">
        <v>30868602</v>
      </c>
      <c r="G92" s="301">
        <f>IF(ISBLANK(F92),"-",$D$101/$F$98*F92)</f>
        <v>29926747.405649405</v>
      </c>
      <c r="I92" s="422">
        <f>ABS((F96/D96*D95)-F95)/D95</f>
        <v>7.8356898870028877E-3</v>
      </c>
    </row>
    <row r="93" spans="1:12" ht="26.25" customHeight="1" x14ac:dyDescent="0.4">
      <c r="A93" s="286" t="s">
        <v>68</v>
      </c>
      <c r="B93" s="287">
        <v>1</v>
      </c>
      <c r="C93" s="316">
        <v>3</v>
      </c>
      <c r="D93" s="299">
        <v>32878037</v>
      </c>
      <c r="E93" s="300">
        <f>IF(ISBLANK(D93),"-",$D$101/$D$98*D93)</f>
        <v>29694258.225415282</v>
      </c>
      <c r="F93" s="299">
        <v>30821859</v>
      </c>
      <c r="G93" s="301">
        <f>IF(ISBLANK(F93),"-",$D$101/$F$98*F93)</f>
        <v>29881430.61566383</v>
      </c>
      <c r="I93" s="422"/>
    </row>
    <row r="94" spans="1:12" ht="27" customHeight="1" thickBot="1" x14ac:dyDescent="0.45">
      <c r="A94" s="286" t="s">
        <v>69</v>
      </c>
      <c r="B94" s="287">
        <v>1</v>
      </c>
      <c r="C94" s="368">
        <v>4</v>
      </c>
      <c r="D94" s="303"/>
      <c r="E94" s="304" t="str">
        <f>IF(ISBLANK(D94),"-",$D$101/$D$98*D94)</f>
        <v>-</v>
      </c>
      <c r="F94" s="369"/>
      <c r="G94" s="305" t="str">
        <f>IF(ISBLANK(F94),"-",$D$101/$F$98*F94)</f>
        <v>-</v>
      </c>
      <c r="I94" s="306"/>
    </row>
    <row r="95" spans="1:12" ht="27" customHeight="1" thickBot="1" x14ac:dyDescent="0.45">
      <c r="A95" s="286" t="s">
        <v>70</v>
      </c>
      <c r="B95" s="287">
        <v>1</v>
      </c>
      <c r="C95" s="270" t="s">
        <v>71</v>
      </c>
      <c r="D95" s="370">
        <f>AVERAGE(D91:D94)</f>
        <v>32960209.666666668</v>
      </c>
      <c r="E95" s="309">
        <f>AVERAGE(E91:E94)</f>
        <v>29768473.616774291</v>
      </c>
      <c r="F95" s="371">
        <f>AVERAGE(F91:F94)</f>
        <v>30963613</v>
      </c>
      <c r="G95" s="372">
        <f>AVERAGE(G91:G94)</f>
        <v>30018859.455225155</v>
      </c>
    </row>
    <row r="96" spans="1:12" ht="26.25" customHeight="1" x14ac:dyDescent="0.4">
      <c r="A96" s="286" t="s">
        <v>72</v>
      </c>
      <c r="B96" s="271">
        <v>1</v>
      </c>
      <c r="C96" s="373" t="s">
        <v>113</v>
      </c>
      <c r="D96" s="374">
        <v>16.809999999999999</v>
      </c>
      <c r="E96" s="259"/>
      <c r="F96" s="313">
        <v>15.66</v>
      </c>
    </row>
    <row r="97" spans="1:10" ht="26.25" customHeight="1" x14ac:dyDescent="0.4">
      <c r="A97" s="286" t="s">
        <v>74</v>
      </c>
      <c r="B97" s="271">
        <v>1</v>
      </c>
      <c r="C97" s="375" t="s">
        <v>114</v>
      </c>
      <c r="D97" s="376">
        <f>D96*$B$87</f>
        <v>16.809999999999999</v>
      </c>
      <c r="E97" s="316"/>
      <c r="F97" s="315">
        <f>F96*$B$87</f>
        <v>15.66</v>
      </c>
    </row>
    <row r="98" spans="1:10" ht="19.5" customHeight="1" thickBot="1" x14ac:dyDescent="0.35">
      <c r="A98" s="286" t="s">
        <v>76</v>
      </c>
      <c r="B98" s="316">
        <f>(B97/B96)*(B95/B94)*(B93/B92)*(B91/B90)*B89</f>
        <v>50</v>
      </c>
      <c r="C98" s="375" t="s">
        <v>115</v>
      </c>
      <c r="D98" s="377">
        <f>D97*$B$83/100</f>
        <v>16.608279999999997</v>
      </c>
      <c r="E98" s="318"/>
      <c r="F98" s="317">
        <f>F97*$B$83/100</f>
        <v>15.472079999999998</v>
      </c>
    </row>
    <row r="99" spans="1:10" ht="19.5" customHeight="1" thickBot="1" x14ac:dyDescent="0.35">
      <c r="A99" s="423" t="s">
        <v>78</v>
      </c>
      <c r="B99" s="424"/>
      <c r="C99" s="375" t="s">
        <v>116</v>
      </c>
      <c r="D99" s="378">
        <f>D98/$B$98</f>
        <v>0.33216559999999995</v>
      </c>
      <c r="E99" s="318"/>
      <c r="F99" s="321">
        <f>F98/$B$98</f>
        <v>0.30944159999999998</v>
      </c>
      <c r="H99" s="311"/>
    </row>
    <row r="100" spans="1:10" ht="19.5" customHeight="1" thickBot="1" x14ac:dyDescent="0.35">
      <c r="A100" s="425"/>
      <c r="B100" s="426"/>
      <c r="C100" s="375" t="s">
        <v>80</v>
      </c>
      <c r="D100" s="379">
        <f>$B$56/$B$116</f>
        <v>0.3</v>
      </c>
      <c r="F100" s="326"/>
      <c r="G100" s="380"/>
      <c r="H100" s="311"/>
    </row>
    <row r="101" spans="1:10" ht="18.75" x14ac:dyDescent="0.3">
      <c r="C101" s="375" t="s">
        <v>81</v>
      </c>
      <c r="D101" s="376">
        <f>D100*$B$98</f>
        <v>15</v>
      </c>
      <c r="F101" s="326"/>
      <c r="H101" s="311"/>
    </row>
    <row r="102" spans="1:10" ht="19.5" customHeight="1" thickBot="1" x14ac:dyDescent="0.35">
      <c r="C102" s="381" t="s">
        <v>82</v>
      </c>
      <c r="D102" s="382">
        <f>D101/B34</f>
        <v>15</v>
      </c>
      <c r="F102" s="330"/>
      <c r="H102" s="311"/>
      <c r="J102" s="383"/>
    </row>
    <row r="103" spans="1:10" ht="18.75" x14ac:dyDescent="0.3">
      <c r="C103" s="384" t="s">
        <v>117</v>
      </c>
      <c r="D103" s="385">
        <f>AVERAGE(E91:E94,G91:G94)</f>
        <v>29893666.535999719</v>
      </c>
      <c r="F103" s="330"/>
      <c r="G103" s="380"/>
      <c r="H103" s="311"/>
      <c r="J103" s="386"/>
    </row>
    <row r="104" spans="1:10" ht="18.75" x14ac:dyDescent="0.3">
      <c r="C104" s="358" t="s">
        <v>84</v>
      </c>
      <c r="D104" s="387">
        <f>STDEV(E91:E94,G91:G94)/D103</f>
        <v>7.0168572274390021E-3</v>
      </c>
      <c r="F104" s="330"/>
      <c r="H104" s="311"/>
      <c r="J104" s="386"/>
    </row>
    <row r="105" spans="1:10" ht="19.5" customHeight="1" thickBot="1" x14ac:dyDescent="0.35">
      <c r="C105" s="360" t="s">
        <v>20</v>
      </c>
      <c r="D105" s="388">
        <f>COUNT(E91:E94,G91:G94)</f>
        <v>6</v>
      </c>
      <c r="F105" s="330"/>
      <c r="H105" s="311"/>
      <c r="J105" s="386"/>
    </row>
    <row r="106" spans="1:10" ht="19.5" customHeight="1" thickBot="1" x14ac:dyDescent="0.35">
      <c r="A106" s="334"/>
      <c r="B106" s="334"/>
      <c r="C106" s="334"/>
      <c r="D106" s="334"/>
      <c r="E106" s="334"/>
    </row>
    <row r="107" spans="1:10" ht="27" customHeight="1" thickBot="1" x14ac:dyDescent="0.45">
      <c r="A107" s="284" t="s">
        <v>118</v>
      </c>
      <c r="B107" s="285">
        <v>1000</v>
      </c>
      <c r="C107" s="340" t="s">
        <v>119</v>
      </c>
      <c r="D107" s="340" t="s">
        <v>63</v>
      </c>
      <c r="E107" s="340" t="s">
        <v>120</v>
      </c>
      <c r="F107" s="389" t="s">
        <v>121</v>
      </c>
    </row>
    <row r="108" spans="1:10" ht="26.25" customHeight="1" x14ac:dyDescent="0.4">
      <c r="A108" s="286" t="s">
        <v>122</v>
      </c>
      <c r="B108" s="287">
        <v>1</v>
      </c>
      <c r="C108" s="341">
        <v>1</v>
      </c>
      <c r="D108" s="390">
        <v>29379557</v>
      </c>
      <c r="E108" s="391">
        <f t="shared" ref="E108:E113" si="1">IF(ISBLANK(D108),"-",D108/$D$103*$D$100*$B$116)</f>
        <v>294.84061747279543</v>
      </c>
      <c r="F108" s="392">
        <f t="shared" ref="F108:F113" si="2">IF(ISBLANK(D108), "-", (E108/$B$56)*100)</f>
        <v>98.280205824265138</v>
      </c>
    </row>
    <row r="109" spans="1:10" ht="26.25" customHeight="1" x14ac:dyDescent="0.4">
      <c r="A109" s="286" t="s">
        <v>95</v>
      </c>
      <c r="B109" s="287">
        <v>1</v>
      </c>
      <c r="C109" s="345">
        <v>2</v>
      </c>
      <c r="D109" s="393">
        <v>30467394</v>
      </c>
      <c r="E109" s="394">
        <f t="shared" si="1"/>
        <v>305.75768245065586</v>
      </c>
      <c r="F109" s="395">
        <f t="shared" si="2"/>
        <v>101.91922748355195</v>
      </c>
    </row>
    <row r="110" spans="1:10" ht="26.25" customHeight="1" x14ac:dyDescent="0.4">
      <c r="A110" s="286" t="s">
        <v>96</v>
      </c>
      <c r="B110" s="287">
        <v>1</v>
      </c>
      <c r="C110" s="345">
        <v>3</v>
      </c>
      <c r="D110" s="393">
        <v>29428241</v>
      </c>
      <c r="E110" s="394">
        <f t="shared" si="1"/>
        <v>295.32918919023302</v>
      </c>
      <c r="F110" s="395">
        <f t="shared" si="2"/>
        <v>98.443063063411003</v>
      </c>
    </row>
    <row r="111" spans="1:10" ht="26.25" customHeight="1" x14ac:dyDescent="0.4">
      <c r="A111" s="286" t="s">
        <v>97</v>
      </c>
      <c r="B111" s="287">
        <v>1</v>
      </c>
      <c r="C111" s="345">
        <v>4</v>
      </c>
      <c r="D111" s="393">
        <v>29326184</v>
      </c>
      <c r="E111" s="394">
        <f t="shared" si="1"/>
        <v>294.30498896497363</v>
      </c>
      <c r="F111" s="395">
        <f t="shared" si="2"/>
        <v>98.101662988324549</v>
      </c>
    </row>
    <row r="112" spans="1:10" ht="26.25" customHeight="1" x14ac:dyDescent="0.4">
      <c r="A112" s="286" t="s">
        <v>98</v>
      </c>
      <c r="B112" s="287">
        <v>1</v>
      </c>
      <c r="C112" s="345">
        <v>5</v>
      </c>
      <c r="D112" s="393">
        <v>29499789</v>
      </c>
      <c r="E112" s="394">
        <f t="shared" si="1"/>
        <v>296.04721419309283</v>
      </c>
      <c r="F112" s="395">
        <f t="shared" si="2"/>
        <v>98.682404731030942</v>
      </c>
    </row>
    <row r="113" spans="1:10" ht="27" customHeight="1" thickBot="1" x14ac:dyDescent="0.45">
      <c r="A113" s="286" t="s">
        <v>100</v>
      </c>
      <c r="B113" s="287">
        <v>1</v>
      </c>
      <c r="C113" s="349">
        <v>6</v>
      </c>
      <c r="D113" s="396">
        <v>30469224</v>
      </c>
      <c r="E113" s="397">
        <f t="shared" si="1"/>
        <v>305.77604754479177</v>
      </c>
      <c r="F113" s="398">
        <f t="shared" si="2"/>
        <v>101.92534918159726</v>
      </c>
    </row>
    <row r="114" spans="1:10" ht="27" customHeight="1" thickBot="1" x14ac:dyDescent="0.45">
      <c r="A114" s="286" t="s">
        <v>101</v>
      </c>
      <c r="B114" s="287">
        <v>1</v>
      </c>
      <c r="C114" s="399"/>
      <c r="D114" s="316"/>
      <c r="E114" s="259"/>
      <c r="F114" s="395"/>
    </row>
    <row r="115" spans="1:10" ht="26.25" customHeight="1" x14ac:dyDescent="0.4">
      <c r="A115" s="286" t="s">
        <v>102</v>
      </c>
      <c r="B115" s="287">
        <v>1</v>
      </c>
      <c r="C115" s="399"/>
      <c r="D115" s="400" t="s">
        <v>71</v>
      </c>
      <c r="E115" s="401">
        <f>AVERAGE(E108:E113)</f>
        <v>298.6759566360904</v>
      </c>
      <c r="F115" s="402">
        <f>AVERAGE(F108:F113)</f>
        <v>99.55865221203014</v>
      </c>
    </row>
    <row r="116" spans="1:10" ht="27" customHeight="1" thickBot="1" x14ac:dyDescent="0.45">
      <c r="A116" s="286" t="s">
        <v>103</v>
      </c>
      <c r="B116" s="298">
        <f>(B115/B114)*(B113/B112)*(B111/B110)*(B109/B108)*B107</f>
        <v>1000</v>
      </c>
      <c r="C116" s="403"/>
      <c r="D116" s="404" t="s">
        <v>84</v>
      </c>
      <c r="E116" s="359">
        <f>STDEV(E108:E113)/E115</f>
        <v>1.8489842732399862E-2</v>
      </c>
      <c r="F116" s="405">
        <f>STDEV(F108:F113)/F115</f>
        <v>1.8489842732399852E-2</v>
      </c>
      <c r="I116" s="259"/>
    </row>
    <row r="117" spans="1:10" ht="27" customHeight="1" thickBot="1" x14ac:dyDescent="0.45">
      <c r="A117" s="423" t="s">
        <v>78</v>
      </c>
      <c r="B117" s="427"/>
      <c r="C117" s="406"/>
      <c r="D117" s="360" t="s">
        <v>20</v>
      </c>
      <c r="E117" s="407">
        <f>COUNT(E108:E113)</f>
        <v>6</v>
      </c>
      <c r="F117" s="408">
        <f>COUNT(F108:F113)</f>
        <v>6</v>
      </c>
      <c r="I117" s="259"/>
      <c r="J117" s="386"/>
    </row>
    <row r="118" spans="1:10" ht="26.25" customHeight="1" thickBot="1" x14ac:dyDescent="0.35">
      <c r="A118" s="425"/>
      <c r="B118" s="428"/>
      <c r="C118" s="259"/>
      <c r="D118" s="409"/>
      <c r="E118" s="429" t="s">
        <v>123</v>
      </c>
      <c r="F118" s="430"/>
      <c r="G118" s="259"/>
      <c r="H118" s="259"/>
      <c r="I118" s="259"/>
    </row>
    <row r="119" spans="1:10" ht="25.5" customHeight="1" x14ac:dyDescent="0.4">
      <c r="A119" s="410"/>
      <c r="B119" s="282"/>
      <c r="C119" s="259"/>
      <c r="D119" s="404" t="s">
        <v>124</v>
      </c>
      <c r="E119" s="411">
        <f>MIN(E108:E113)</f>
        <v>294.30498896497363</v>
      </c>
      <c r="F119" s="412">
        <f>MIN(F108:F113)</f>
        <v>98.101662988324549</v>
      </c>
      <c r="G119" s="259"/>
      <c r="H119" s="259"/>
      <c r="I119" s="259"/>
    </row>
    <row r="120" spans="1:10" ht="24" customHeight="1" thickBot="1" x14ac:dyDescent="0.45">
      <c r="A120" s="410"/>
      <c r="B120" s="282"/>
      <c r="C120" s="259"/>
      <c r="D120" s="327" t="s">
        <v>125</v>
      </c>
      <c r="E120" s="413">
        <f>MAX(E108:E113)</f>
        <v>305.77604754479177</v>
      </c>
      <c r="F120" s="414">
        <f>MAX(F108:F113)</f>
        <v>101.92534918159726</v>
      </c>
      <c r="G120" s="259"/>
      <c r="H120" s="259"/>
      <c r="I120" s="259"/>
    </row>
    <row r="121" spans="1:10" ht="27" customHeight="1" x14ac:dyDescent="0.3">
      <c r="A121" s="410"/>
      <c r="B121" s="282"/>
      <c r="C121" s="259"/>
      <c r="D121" s="259"/>
      <c r="E121" s="259"/>
      <c r="F121" s="316"/>
      <c r="G121" s="259"/>
      <c r="H121" s="259"/>
      <c r="I121" s="259"/>
    </row>
    <row r="122" spans="1:10" ht="25.5" customHeight="1" x14ac:dyDescent="0.3">
      <c r="A122" s="410"/>
      <c r="B122" s="282"/>
      <c r="C122" s="259"/>
      <c r="D122" s="259"/>
      <c r="E122" s="259"/>
      <c r="F122" s="316"/>
      <c r="G122" s="259"/>
      <c r="H122" s="259"/>
      <c r="I122" s="259"/>
    </row>
    <row r="123" spans="1:10" ht="18.75" x14ac:dyDescent="0.3">
      <c r="A123" s="410"/>
      <c r="B123" s="282"/>
      <c r="C123" s="259"/>
      <c r="D123" s="259"/>
      <c r="E123" s="259"/>
      <c r="F123" s="316"/>
      <c r="G123" s="259"/>
      <c r="H123" s="259"/>
      <c r="I123" s="259"/>
    </row>
    <row r="124" spans="1:10" ht="45.75" customHeight="1" x14ac:dyDescent="0.65">
      <c r="A124" s="269" t="s">
        <v>106</v>
      </c>
      <c r="B124" s="270" t="s">
        <v>126</v>
      </c>
      <c r="C124" s="431" t="str">
        <f>B26</f>
        <v>Tenofovir Disoproxil Fumurate</v>
      </c>
      <c r="D124" s="431"/>
      <c r="E124" s="259" t="s">
        <v>127</v>
      </c>
      <c r="F124" s="259"/>
      <c r="G124" s="415">
        <f>F115</f>
        <v>99.55865221203014</v>
      </c>
      <c r="H124" s="259"/>
      <c r="I124" s="259"/>
    </row>
    <row r="125" spans="1:10" ht="45.75" customHeight="1" x14ac:dyDescent="0.65">
      <c r="A125" s="269"/>
      <c r="B125" s="270" t="s">
        <v>128</v>
      </c>
      <c r="C125" s="270" t="s">
        <v>129</v>
      </c>
      <c r="D125" s="415">
        <f>MIN(F108:F113)</f>
        <v>98.101662988324549</v>
      </c>
      <c r="E125" s="270" t="s">
        <v>130</v>
      </c>
      <c r="F125" s="415">
        <f>MAX(F108:F113)</f>
        <v>101.92534918159726</v>
      </c>
      <c r="G125" s="362"/>
      <c r="H125" s="259"/>
      <c r="I125" s="259"/>
    </row>
    <row r="126" spans="1:10" ht="19.5" customHeight="1" thickBot="1" x14ac:dyDescent="0.35">
      <c r="A126" s="416"/>
      <c r="B126" s="416"/>
      <c r="C126" s="417"/>
      <c r="D126" s="417"/>
      <c r="E126" s="417"/>
      <c r="F126" s="417"/>
      <c r="G126" s="417"/>
      <c r="H126" s="417"/>
    </row>
    <row r="127" spans="1:10" ht="18.75" x14ac:dyDescent="0.3">
      <c r="B127" s="432" t="s">
        <v>26</v>
      </c>
      <c r="C127" s="432"/>
      <c r="E127" s="365" t="s">
        <v>27</v>
      </c>
      <c r="F127" s="418"/>
      <c r="G127" s="432" t="s">
        <v>28</v>
      </c>
      <c r="H127" s="432"/>
    </row>
    <row r="128" spans="1:10" ht="69.95" customHeight="1" x14ac:dyDescent="0.3">
      <c r="A128" s="269" t="s">
        <v>29</v>
      </c>
      <c r="B128" s="419"/>
      <c r="C128" s="419"/>
      <c r="E128" s="419"/>
      <c r="F128" s="259"/>
      <c r="G128" s="419"/>
      <c r="H128" s="419"/>
    </row>
    <row r="129" spans="1:9" ht="69.95" customHeight="1" x14ac:dyDescent="0.3">
      <c r="A129" s="269" t="s">
        <v>30</v>
      </c>
      <c r="B129" s="420"/>
      <c r="C129" s="420"/>
      <c r="E129" s="420"/>
      <c r="F129" s="259"/>
      <c r="G129" s="421"/>
      <c r="H129" s="421"/>
    </row>
    <row r="130" spans="1:9" ht="18.75" x14ac:dyDescent="0.3">
      <c r="A130" s="316"/>
      <c r="B130" s="316"/>
      <c r="C130" s="316"/>
      <c r="D130" s="316"/>
      <c r="E130" s="316"/>
      <c r="F130" s="318"/>
      <c r="G130" s="316"/>
      <c r="H130" s="316"/>
      <c r="I130" s="259"/>
    </row>
    <row r="131" spans="1:9" ht="18.75" x14ac:dyDescent="0.3">
      <c r="A131" s="316"/>
      <c r="B131" s="316"/>
      <c r="C131" s="316"/>
      <c r="D131" s="316"/>
      <c r="E131" s="316"/>
      <c r="F131" s="318"/>
      <c r="G131" s="316"/>
      <c r="H131" s="316"/>
      <c r="I131" s="259"/>
    </row>
    <row r="132" spans="1:9" ht="18.75" x14ac:dyDescent="0.3">
      <c r="A132" s="316"/>
      <c r="B132" s="316"/>
      <c r="C132" s="316"/>
      <c r="D132" s="316"/>
      <c r="E132" s="316"/>
      <c r="F132" s="318"/>
      <c r="G132" s="316"/>
      <c r="H132" s="316"/>
      <c r="I132" s="259"/>
    </row>
    <row r="133" spans="1:9" ht="18.75" x14ac:dyDescent="0.3">
      <c r="A133" s="316"/>
      <c r="B133" s="316"/>
      <c r="C133" s="316"/>
      <c r="D133" s="316"/>
      <c r="E133" s="316"/>
      <c r="F133" s="318"/>
      <c r="G133" s="316"/>
      <c r="H133" s="316"/>
      <c r="I133" s="259"/>
    </row>
    <row r="134" spans="1:9" ht="18.75" x14ac:dyDescent="0.3">
      <c r="A134" s="316"/>
      <c r="B134" s="316"/>
      <c r="C134" s="316"/>
      <c r="D134" s="316"/>
      <c r="E134" s="316"/>
      <c r="F134" s="318"/>
      <c r="G134" s="316"/>
      <c r="H134" s="316"/>
      <c r="I134" s="259"/>
    </row>
    <row r="135" spans="1:9" ht="18.75" x14ac:dyDescent="0.3">
      <c r="A135" s="316"/>
      <c r="B135" s="316"/>
      <c r="C135" s="316"/>
      <c r="D135" s="316"/>
      <c r="E135" s="316"/>
      <c r="F135" s="318"/>
      <c r="G135" s="316"/>
      <c r="H135" s="316"/>
      <c r="I135" s="259"/>
    </row>
    <row r="136" spans="1:9" ht="18.75" x14ac:dyDescent="0.3">
      <c r="A136" s="316"/>
      <c r="B136" s="316"/>
      <c r="C136" s="316"/>
      <c r="D136" s="316"/>
      <c r="E136" s="316"/>
      <c r="F136" s="318"/>
      <c r="G136" s="316"/>
      <c r="H136" s="316"/>
      <c r="I136" s="259"/>
    </row>
    <row r="137" spans="1:9" ht="18.75" x14ac:dyDescent="0.3">
      <c r="A137" s="316"/>
      <c r="B137" s="316"/>
      <c r="C137" s="316"/>
      <c r="D137" s="316"/>
      <c r="E137" s="316"/>
      <c r="F137" s="318"/>
      <c r="G137" s="316"/>
      <c r="H137" s="316"/>
      <c r="I137" s="259"/>
    </row>
    <row r="138" spans="1:9" ht="18.75" x14ac:dyDescent="0.3">
      <c r="A138" s="316"/>
      <c r="B138" s="316"/>
      <c r="C138" s="316"/>
      <c r="D138" s="316"/>
      <c r="E138" s="316"/>
      <c r="F138" s="318"/>
      <c r="G138" s="316"/>
      <c r="H138" s="316"/>
      <c r="I138" s="259"/>
    </row>
    <row r="250" spans="1:1" x14ac:dyDescent="0.25">
      <c r="A250" s="257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5" zoomScale="48" zoomScaleNormal="40" zoomScalePageLayoutView="48" workbookViewId="0">
      <selection activeCell="B128" sqref="B128"/>
    </sheetView>
  </sheetViews>
  <sheetFormatPr defaultColWidth="9.140625" defaultRowHeight="13.5" x14ac:dyDescent="0.25"/>
  <cols>
    <col min="1" max="1" width="55.42578125" style="92" customWidth="1"/>
    <col min="2" max="2" width="33.7109375" style="92" customWidth="1"/>
    <col min="3" max="3" width="42.28515625" style="92" customWidth="1"/>
    <col min="4" max="4" width="30.5703125" style="92" customWidth="1"/>
    <col min="5" max="5" width="39.85546875" style="92" customWidth="1"/>
    <col min="6" max="6" width="30.7109375" style="92" customWidth="1"/>
    <col min="7" max="7" width="39.85546875" style="92" customWidth="1"/>
    <col min="8" max="8" width="30" style="92" customWidth="1"/>
    <col min="9" max="9" width="30.28515625" style="92" hidden="1" customWidth="1"/>
    <col min="10" max="10" width="30.42578125" style="92" customWidth="1"/>
    <col min="11" max="11" width="21.28515625" style="92" customWidth="1"/>
    <col min="12" max="12" width="9.140625" style="92"/>
    <col min="13" max="16384" width="9.140625" style="93"/>
  </cols>
  <sheetData>
    <row r="1" spans="1:9" ht="18.75" customHeight="1" x14ac:dyDescent="0.25">
      <c r="A1" s="498" t="s">
        <v>45</v>
      </c>
      <c r="B1" s="498"/>
      <c r="C1" s="498"/>
      <c r="D1" s="498"/>
      <c r="E1" s="498"/>
      <c r="F1" s="498"/>
      <c r="G1" s="498"/>
      <c r="H1" s="498"/>
      <c r="I1" s="498"/>
    </row>
    <row r="2" spans="1:9" ht="18.75" customHeight="1" x14ac:dyDescent="0.25">
      <c r="A2" s="498"/>
      <c r="B2" s="498"/>
      <c r="C2" s="498"/>
      <c r="D2" s="498"/>
      <c r="E2" s="498"/>
      <c r="F2" s="498"/>
      <c r="G2" s="498"/>
      <c r="H2" s="498"/>
      <c r="I2" s="498"/>
    </row>
    <row r="3" spans="1:9" ht="18.75" customHeight="1" x14ac:dyDescent="0.25">
      <c r="A3" s="498"/>
      <c r="B3" s="498"/>
      <c r="C3" s="498"/>
      <c r="D3" s="498"/>
      <c r="E3" s="498"/>
      <c r="F3" s="498"/>
      <c r="G3" s="498"/>
      <c r="H3" s="498"/>
      <c r="I3" s="498"/>
    </row>
    <row r="4" spans="1:9" ht="18.75" customHeight="1" x14ac:dyDescent="0.25">
      <c r="A4" s="498"/>
      <c r="B4" s="498"/>
      <c r="C4" s="498"/>
      <c r="D4" s="498"/>
      <c r="E4" s="498"/>
      <c r="F4" s="498"/>
      <c r="G4" s="498"/>
      <c r="H4" s="498"/>
      <c r="I4" s="498"/>
    </row>
    <row r="5" spans="1:9" ht="18.75" customHeight="1" x14ac:dyDescent="0.25">
      <c r="A5" s="498"/>
      <c r="B5" s="498"/>
      <c r="C5" s="498"/>
      <c r="D5" s="498"/>
      <c r="E5" s="498"/>
      <c r="F5" s="498"/>
      <c r="G5" s="498"/>
      <c r="H5" s="498"/>
      <c r="I5" s="498"/>
    </row>
    <row r="6" spans="1:9" ht="18.75" customHeight="1" x14ac:dyDescent="0.25">
      <c r="A6" s="498"/>
      <c r="B6" s="498"/>
      <c r="C6" s="498"/>
      <c r="D6" s="498"/>
      <c r="E6" s="498"/>
      <c r="F6" s="498"/>
      <c r="G6" s="498"/>
      <c r="H6" s="498"/>
      <c r="I6" s="498"/>
    </row>
    <row r="7" spans="1:9" ht="18.75" customHeight="1" x14ac:dyDescent="0.25">
      <c r="A7" s="498"/>
      <c r="B7" s="498"/>
      <c r="C7" s="498"/>
      <c r="D7" s="498"/>
      <c r="E7" s="498"/>
      <c r="F7" s="498"/>
      <c r="G7" s="498"/>
      <c r="H7" s="498"/>
      <c r="I7" s="498"/>
    </row>
    <row r="8" spans="1:9" x14ac:dyDescent="0.25">
      <c r="A8" s="499" t="s">
        <v>46</v>
      </c>
      <c r="B8" s="499"/>
      <c r="C8" s="499"/>
      <c r="D8" s="499"/>
      <c r="E8" s="499"/>
      <c r="F8" s="499"/>
      <c r="G8" s="499"/>
      <c r="H8" s="499"/>
      <c r="I8" s="499"/>
    </row>
    <row r="9" spans="1:9" x14ac:dyDescent="0.25">
      <c r="A9" s="499"/>
      <c r="B9" s="499"/>
      <c r="C9" s="499"/>
      <c r="D9" s="499"/>
      <c r="E9" s="499"/>
      <c r="F9" s="499"/>
      <c r="G9" s="499"/>
      <c r="H9" s="499"/>
      <c r="I9" s="499"/>
    </row>
    <row r="10" spans="1:9" x14ac:dyDescent="0.25">
      <c r="A10" s="499"/>
      <c r="B10" s="499"/>
      <c r="C10" s="499"/>
      <c r="D10" s="499"/>
      <c r="E10" s="499"/>
      <c r="F10" s="499"/>
      <c r="G10" s="499"/>
      <c r="H10" s="499"/>
      <c r="I10" s="499"/>
    </row>
    <row r="11" spans="1:9" x14ac:dyDescent="0.25">
      <c r="A11" s="499"/>
      <c r="B11" s="499"/>
      <c r="C11" s="499"/>
      <c r="D11" s="499"/>
      <c r="E11" s="499"/>
      <c r="F11" s="499"/>
      <c r="G11" s="499"/>
      <c r="H11" s="499"/>
      <c r="I11" s="499"/>
    </row>
    <row r="12" spans="1:9" x14ac:dyDescent="0.25">
      <c r="A12" s="499"/>
      <c r="B12" s="499"/>
      <c r="C12" s="499"/>
      <c r="D12" s="499"/>
      <c r="E12" s="499"/>
      <c r="F12" s="499"/>
      <c r="G12" s="499"/>
      <c r="H12" s="499"/>
      <c r="I12" s="499"/>
    </row>
    <row r="13" spans="1:9" x14ac:dyDescent="0.25">
      <c r="A13" s="499"/>
      <c r="B13" s="499"/>
      <c r="C13" s="499"/>
      <c r="D13" s="499"/>
      <c r="E13" s="499"/>
      <c r="F13" s="499"/>
      <c r="G13" s="499"/>
      <c r="H13" s="499"/>
      <c r="I13" s="499"/>
    </row>
    <row r="14" spans="1:9" x14ac:dyDescent="0.25">
      <c r="A14" s="499"/>
      <c r="B14" s="499"/>
      <c r="C14" s="499"/>
      <c r="D14" s="499"/>
      <c r="E14" s="499"/>
      <c r="F14" s="499"/>
      <c r="G14" s="499"/>
      <c r="H14" s="499"/>
      <c r="I14" s="499"/>
    </row>
    <row r="15" spans="1:9" ht="19.5" customHeight="1" thickBot="1" x14ac:dyDescent="0.35">
      <c r="A15" s="94"/>
    </row>
    <row r="16" spans="1:9" ht="19.5" customHeight="1" thickBot="1" x14ac:dyDescent="0.35">
      <c r="A16" s="500" t="s">
        <v>31</v>
      </c>
      <c r="B16" s="501"/>
      <c r="C16" s="501"/>
      <c r="D16" s="501"/>
      <c r="E16" s="501"/>
      <c r="F16" s="501"/>
      <c r="G16" s="501"/>
      <c r="H16" s="502"/>
    </row>
    <row r="17" spans="1:14" ht="20.25" customHeight="1" x14ac:dyDescent="0.25">
      <c r="A17" s="503" t="s">
        <v>47</v>
      </c>
      <c r="B17" s="503"/>
      <c r="C17" s="503"/>
      <c r="D17" s="503"/>
      <c r="E17" s="503"/>
      <c r="F17" s="503"/>
      <c r="G17" s="503"/>
      <c r="H17" s="503"/>
    </row>
    <row r="18" spans="1:14" ht="26.25" customHeight="1" x14ac:dyDescent="0.4">
      <c r="A18" s="95" t="s">
        <v>33</v>
      </c>
      <c r="B18" s="496" t="s">
        <v>131</v>
      </c>
      <c r="C18" s="496"/>
      <c r="D18" s="96"/>
      <c r="E18" s="97"/>
      <c r="F18" s="98"/>
      <c r="G18" s="98"/>
      <c r="H18" s="98"/>
    </row>
    <row r="19" spans="1:14" ht="26.25" customHeight="1" x14ac:dyDescent="0.4">
      <c r="A19" s="95" t="s">
        <v>34</v>
      </c>
      <c r="B19" s="99" t="s">
        <v>134</v>
      </c>
      <c r="C19" s="98">
        <v>1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35</v>
      </c>
      <c r="B20" s="495" t="s">
        <v>9</v>
      </c>
      <c r="C20" s="495"/>
      <c r="D20" s="98"/>
      <c r="E20" s="98"/>
      <c r="F20" s="98"/>
      <c r="G20" s="98"/>
      <c r="H20" s="98"/>
    </row>
    <row r="21" spans="1:14" ht="26.25" customHeight="1" x14ac:dyDescent="0.4">
      <c r="A21" s="95" t="s">
        <v>36</v>
      </c>
      <c r="B21" s="495" t="s">
        <v>135</v>
      </c>
      <c r="C21" s="495"/>
      <c r="D21" s="495"/>
      <c r="E21" s="495"/>
      <c r="F21" s="495"/>
      <c r="G21" s="495"/>
      <c r="H21" s="495"/>
      <c r="I21" s="100"/>
    </row>
    <row r="22" spans="1:14" ht="26.25" customHeight="1" x14ac:dyDescent="0.4">
      <c r="A22" s="95" t="s">
        <v>37</v>
      </c>
      <c r="B22" s="101" t="s">
        <v>133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38</v>
      </c>
      <c r="B23" s="101">
        <v>42762</v>
      </c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496" t="s">
        <v>132</v>
      </c>
      <c r="C26" s="496"/>
    </row>
    <row r="27" spans="1:14" ht="26.25" customHeight="1" x14ac:dyDescent="0.4">
      <c r="A27" s="105" t="s">
        <v>48</v>
      </c>
      <c r="B27" s="497" t="s">
        <v>139</v>
      </c>
      <c r="C27" s="497"/>
    </row>
    <row r="28" spans="1:14" ht="27" customHeight="1" thickBot="1" x14ac:dyDescent="0.45">
      <c r="A28" s="105" t="s">
        <v>6</v>
      </c>
      <c r="B28" s="106">
        <v>99.8</v>
      </c>
    </row>
    <row r="29" spans="1:14" s="108" customFormat="1" ht="27" customHeight="1" thickBot="1" x14ac:dyDescent="0.45">
      <c r="A29" s="105" t="s">
        <v>49</v>
      </c>
      <c r="B29" s="107">
        <v>0</v>
      </c>
      <c r="C29" s="475" t="s">
        <v>50</v>
      </c>
      <c r="D29" s="476"/>
      <c r="E29" s="476"/>
      <c r="F29" s="476"/>
      <c r="G29" s="477"/>
      <c r="I29" s="109"/>
      <c r="J29" s="109"/>
      <c r="K29" s="109"/>
      <c r="L29" s="109"/>
    </row>
    <row r="30" spans="1:14" s="108" customFormat="1" ht="19.5" customHeight="1" thickBot="1" x14ac:dyDescent="0.35">
      <c r="A30" s="105" t="s">
        <v>51</v>
      </c>
      <c r="B30" s="110">
        <f>B28-B29</f>
        <v>99.8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08" customFormat="1" ht="27" customHeight="1" thickBot="1" x14ac:dyDescent="0.45">
      <c r="A31" s="105" t="s">
        <v>52</v>
      </c>
      <c r="B31" s="113">
        <v>1</v>
      </c>
      <c r="C31" s="478" t="s">
        <v>53</v>
      </c>
      <c r="D31" s="479"/>
      <c r="E31" s="479"/>
      <c r="F31" s="479"/>
      <c r="G31" s="479"/>
      <c r="H31" s="480"/>
      <c r="I31" s="109"/>
      <c r="J31" s="109"/>
      <c r="K31" s="109"/>
      <c r="L31" s="109"/>
    </row>
    <row r="32" spans="1:14" s="108" customFormat="1" ht="27" customHeight="1" thickBot="1" x14ac:dyDescent="0.45">
      <c r="A32" s="105" t="s">
        <v>54</v>
      </c>
      <c r="B32" s="113">
        <v>1</v>
      </c>
      <c r="C32" s="478" t="s">
        <v>55</v>
      </c>
      <c r="D32" s="479"/>
      <c r="E32" s="479"/>
      <c r="F32" s="479"/>
      <c r="G32" s="479"/>
      <c r="H32" s="480"/>
      <c r="I32" s="109"/>
      <c r="J32" s="109"/>
      <c r="K32" s="109"/>
      <c r="L32" s="114"/>
      <c r="M32" s="114"/>
      <c r="N32" s="115"/>
    </row>
    <row r="33" spans="1:14" s="108" customFormat="1" ht="17.25" customHeight="1" x14ac:dyDescent="0.3">
      <c r="A33" s="105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08" customFormat="1" ht="18.75" x14ac:dyDescent="0.3">
      <c r="A34" s="105" t="s">
        <v>56</v>
      </c>
      <c r="B34" s="118">
        <f>B31/B32</f>
        <v>1</v>
      </c>
      <c r="C34" s="94" t="s">
        <v>57</v>
      </c>
      <c r="D34" s="94"/>
      <c r="E34" s="94"/>
      <c r="F34" s="94"/>
      <c r="G34" s="94"/>
      <c r="I34" s="109"/>
      <c r="J34" s="109"/>
      <c r="K34" s="109"/>
      <c r="L34" s="114"/>
      <c r="M34" s="114"/>
      <c r="N34" s="115"/>
    </row>
    <row r="35" spans="1:14" s="108" customFormat="1" ht="19.5" customHeight="1" thickBot="1" x14ac:dyDescent="0.35">
      <c r="A35" s="105"/>
      <c r="B35" s="110"/>
      <c r="G35" s="94"/>
      <c r="I35" s="109"/>
      <c r="J35" s="109"/>
      <c r="K35" s="109"/>
      <c r="L35" s="114"/>
      <c r="M35" s="114"/>
      <c r="N35" s="115"/>
    </row>
    <row r="36" spans="1:14" s="108" customFormat="1" ht="27" customHeight="1" thickBot="1" x14ac:dyDescent="0.45">
      <c r="A36" s="119" t="s">
        <v>58</v>
      </c>
      <c r="B36" s="120">
        <v>50</v>
      </c>
      <c r="C36" s="94"/>
      <c r="D36" s="481" t="s">
        <v>59</v>
      </c>
      <c r="E36" s="494"/>
      <c r="F36" s="481" t="s">
        <v>60</v>
      </c>
      <c r="G36" s="482"/>
      <c r="J36" s="109"/>
      <c r="K36" s="109"/>
      <c r="L36" s="114"/>
      <c r="M36" s="114"/>
      <c r="N36" s="115"/>
    </row>
    <row r="37" spans="1:14" s="108" customFormat="1" ht="27" customHeight="1" thickBot="1" x14ac:dyDescent="0.45">
      <c r="A37" s="121" t="s">
        <v>61</v>
      </c>
      <c r="B37" s="122">
        <v>10</v>
      </c>
      <c r="C37" s="123" t="s">
        <v>62</v>
      </c>
      <c r="D37" s="124" t="s">
        <v>63</v>
      </c>
      <c r="E37" s="125" t="s">
        <v>64</v>
      </c>
      <c r="F37" s="124" t="s">
        <v>63</v>
      </c>
      <c r="G37" s="126" t="s">
        <v>64</v>
      </c>
      <c r="I37" s="127" t="s">
        <v>65</v>
      </c>
      <c r="J37" s="109"/>
      <c r="K37" s="109"/>
      <c r="L37" s="114"/>
      <c r="M37" s="114"/>
      <c r="N37" s="115"/>
    </row>
    <row r="38" spans="1:14" s="108" customFormat="1" ht="26.25" customHeight="1" x14ac:dyDescent="0.4">
      <c r="A38" s="121" t="s">
        <v>66</v>
      </c>
      <c r="B38" s="122">
        <v>25</v>
      </c>
      <c r="C38" s="128">
        <v>1</v>
      </c>
      <c r="D38" s="129">
        <v>28064889</v>
      </c>
      <c r="E38" s="130">
        <f>IF(ISBLANK(D38),"-",$D$48/$D$45*D38)</f>
        <v>23421264.238638297</v>
      </c>
      <c r="F38" s="129">
        <v>24358997</v>
      </c>
      <c r="G38" s="131">
        <f>IF(ISBLANK(F38),"-",$D$48/$F$45*F38)</f>
        <v>23743008.390321501</v>
      </c>
      <c r="I38" s="132"/>
      <c r="J38" s="109"/>
      <c r="K38" s="109"/>
      <c r="L38" s="114"/>
      <c r="M38" s="114"/>
      <c r="N38" s="115"/>
    </row>
    <row r="39" spans="1:14" s="108" customFormat="1" ht="26.25" customHeight="1" x14ac:dyDescent="0.4">
      <c r="A39" s="121" t="s">
        <v>67</v>
      </c>
      <c r="B39" s="122">
        <v>1</v>
      </c>
      <c r="C39" s="133">
        <v>2</v>
      </c>
      <c r="D39" s="134">
        <v>27943557</v>
      </c>
      <c r="E39" s="135">
        <f>IF(ISBLANK(D39),"-",$D$48/$D$45*D39)</f>
        <v>23320007.866927635</v>
      </c>
      <c r="F39" s="134">
        <v>24379735</v>
      </c>
      <c r="G39" s="136">
        <f>IF(ISBLANK(F39),"-",$D$48/$F$45*F39)</f>
        <v>23763221.969230291</v>
      </c>
      <c r="I39" s="463">
        <f>ABS((F43/D43*D42)-F42)/D42</f>
        <v>1.2153711417718533E-2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68</v>
      </c>
      <c r="B40" s="122">
        <v>1</v>
      </c>
      <c r="C40" s="133">
        <v>3</v>
      </c>
      <c r="D40" s="134">
        <v>28146270</v>
      </c>
      <c r="E40" s="135">
        <f>IF(ISBLANK(D40),"-",$D$48/$D$45*D40)</f>
        <v>23489179.914520878</v>
      </c>
      <c r="F40" s="134">
        <v>24336571</v>
      </c>
      <c r="G40" s="136">
        <f>IF(ISBLANK(F40),"-",$D$48/$F$45*F40)</f>
        <v>23721149.497438461</v>
      </c>
      <c r="I40" s="463"/>
      <c r="L40" s="114"/>
      <c r="M40" s="114"/>
      <c r="N40" s="94"/>
    </row>
    <row r="41" spans="1:14" ht="27" customHeight="1" thickBot="1" x14ac:dyDescent="0.45">
      <c r="A41" s="121" t="s">
        <v>69</v>
      </c>
      <c r="B41" s="122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4"/>
      <c r="M41" s="114"/>
      <c r="N41" s="94"/>
    </row>
    <row r="42" spans="1:14" ht="27" customHeight="1" thickBot="1" x14ac:dyDescent="0.45">
      <c r="A42" s="121" t="s">
        <v>70</v>
      </c>
      <c r="B42" s="122">
        <v>1</v>
      </c>
      <c r="C42" s="142" t="s">
        <v>71</v>
      </c>
      <c r="D42" s="143">
        <f>AVERAGE(D38:D41)</f>
        <v>28051572</v>
      </c>
      <c r="E42" s="144">
        <f>AVERAGE(E38:E41)</f>
        <v>23410150.67336227</v>
      </c>
      <c r="F42" s="143">
        <f>AVERAGE(F38:F41)</f>
        <v>24358434.333333332</v>
      </c>
      <c r="G42" s="145">
        <f>AVERAGE(G38:G41)</f>
        <v>23742459.952330083</v>
      </c>
      <c r="H42" s="146"/>
    </row>
    <row r="43" spans="1:14" ht="26.25" customHeight="1" x14ac:dyDescent="0.4">
      <c r="A43" s="121" t="s">
        <v>72</v>
      </c>
      <c r="B43" s="122">
        <v>1</v>
      </c>
      <c r="C43" s="147" t="s">
        <v>73</v>
      </c>
      <c r="D43" s="148">
        <v>18.010000000000002</v>
      </c>
      <c r="E43" s="94"/>
      <c r="F43" s="148">
        <v>15.42</v>
      </c>
      <c r="H43" s="146"/>
    </row>
    <row r="44" spans="1:14" ht="26.25" customHeight="1" x14ac:dyDescent="0.4">
      <c r="A44" s="121" t="s">
        <v>74</v>
      </c>
      <c r="B44" s="122">
        <v>1</v>
      </c>
      <c r="C44" s="149" t="s">
        <v>75</v>
      </c>
      <c r="D44" s="150">
        <f>D43*$B$34</f>
        <v>18.010000000000002</v>
      </c>
      <c r="E44" s="151"/>
      <c r="F44" s="150">
        <f>F43*$B$34</f>
        <v>15.42</v>
      </c>
      <c r="H44" s="146"/>
    </row>
    <row r="45" spans="1:14" ht="19.5" customHeight="1" thickBot="1" x14ac:dyDescent="0.35">
      <c r="A45" s="121" t="s">
        <v>76</v>
      </c>
      <c r="B45" s="133">
        <f>(B44/B43)*(B42/B41)*(B40/B39)*(B38/B37)*B36</f>
        <v>125</v>
      </c>
      <c r="C45" s="149" t="s">
        <v>77</v>
      </c>
      <c r="D45" s="152">
        <f>D44*$B$30/100</f>
        <v>17.973980000000001</v>
      </c>
      <c r="E45" s="153"/>
      <c r="F45" s="152">
        <f>F44*$B$30/100</f>
        <v>15.389159999999999</v>
      </c>
      <c r="H45" s="146"/>
    </row>
    <row r="46" spans="1:14" ht="19.5" customHeight="1" thickBot="1" x14ac:dyDescent="0.35">
      <c r="A46" s="464" t="s">
        <v>78</v>
      </c>
      <c r="B46" s="468"/>
      <c r="C46" s="149" t="s">
        <v>79</v>
      </c>
      <c r="D46" s="154">
        <f>D45/$B$45</f>
        <v>0.14379184</v>
      </c>
      <c r="E46" s="155"/>
      <c r="F46" s="156">
        <f>F45/$B$45</f>
        <v>0.12311327999999999</v>
      </c>
      <c r="H46" s="146"/>
    </row>
    <row r="47" spans="1:14" ht="27" customHeight="1" thickBot="1" x14ac:dyDescent="0.45">
      <c r="A47" s="466"/>
      <c r="B47" s="469"/>
      <c r="C47" s="157" t="s">
        <v>80</v>
      </c>
      <c r="D47" s="158">
        <v>0.12</v>
      </c>
      <c r="E47" s="159"/>
      <c r="F47" s="155"/>
      <c r="H47" s="146"/>
    </row>
    <row r="48" spans="1:14" ht="18.75" x14ac:dyDescent="0.3">
      <c r="C48" s="160" t="s">
        <v>81</v>
      </c>
      <c r="D48" s="152">
        <f>D47*$B$45</f>
        <v>15</v>
      </c>
      <c r="F48" s="161"/>
      <c r="H48" s="146"/>
    </row>
    <row r="49" spans="1:12" ht="19.5" customHeight="1" thickBot="1" x14ac:dyDescent="0.35">
      <c r="C49" s="162" t="s">
        <v>82</v>
      </c>
      <c r="D49" s="163">
        <f>D48/B34</f>
        <v>15</v>
      </c>
      <c r="F49" s="161"/>
      <c r="H49" s="146"/>
    </row>
    <row r="50" spans="1:12" ht="18.75" x14ac:dyDescent="0.3">
      <c r="C50" s="119" t="s">
        <v>83</v>
      </c>
      <c r="D50" s="164">
        <f>AVERAGE(E38:E41,G38:G41)</f>
        <v>23576305.31284618</v>
      </c>
      <c r="F50" s="165"/>
      <c r="H50" s="146"/>
    </row>
    <row r="51" spans="1:12" ht="18.75" x14ac:dyDescent="0.3">
      <c r="C51" s="121" t="s">
        <v>84</v>
      </c>
      <c r="D51" s="166">
        <f>STDEV(E38:E41,G38:G41)/D50</f>
        <v>8.0706400471492364E-3</v>
      </c>
      <c r="F51" s="165"/>
      <c r="H51" s="146"/>
    </row>
    <row r="52" spans="1:12" ht="19.5" customHeight="1" thickBot="1" x14ac:dyDescent="0.35">
      <c r="C52" s="167" t="s">
        <v>20</v>
      </c>
      <c r="D52" s="168">
        <f>COUNT(E38:E41,G38:G41)</f>
        <v>6</v>
      </c>
      <c r="F52" s="165"/>
    </row>
    <row r="54" spans="1:12" ht="18.75" x14ac:dyDescent="0.3">
      <c r="A54" s="169" t="s">
        <v>1</v>
      </c>
      <c r="B54" s="170" t="s">
        <v>85</v>
      </c>
    </row>
    <row r="55" spans="1:12" ht="18.75" x14ac:dyDescent="0.3">
      <c r="A55" s="94" t="s">
        <v>86</v>
      </c>
      <c r="B55" s="171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171" t="s">
        <v>87</v>
      </c>
      <c r="B56" s="172">
        <v>300</v>
      </c>
      <c r="C56" s="94" t="str">
        <f>B20</f>
        <v>Lamivudine and Tenofovir Disoproxil Fumarate</v>
      </c>
      <c r="H56" s="151"/>
    </row>
    <row r="57" spans="1:12" ht="18.75" x14ac:dyDescent="0.3">
      <c r="A57" s="171" t="s">
        <v>88</v>
      </c>
      <c r="B57" s="173">
        <f>[1]Uniformity!C46</f>
        <v>869.21750000000009</v>
      </c>
      <c r="H57" s="151"/>
    </row>
    <row r="58" spans="1:12" ht="19.5" customHeight="1" thickBot="1" x14ac:dyDescent="0.35">
      <c r="H58" s="151"/>
    </row>
    <row r="59" spans="1:12" s="108" customFormat="1" ht="27" customHeight="1" thickBot="1" x14ac:dyDescent="0.45">
      <c r="A59" s="119" t="s">
        <v>89</v>
      </c>
      <c r="B59" s="120">
        <v>200</v>
      </c>
      <c r="C59" s="94"/>
      <c r="D59" s="174" t="s">
        <v>90</v>
      </c>
      <c r="E59" s="175" t="s">
        <v>62</v>
      </c>
      <c r="F59" s="175" t="s">
        <v>63</v>
      </c>
      <c r="G59" s="175" t="s">
        <v>91</v>
      </c>
      <c r="H59" s="123" t="s">
        <v>92</v>
      </c>
      <c r="L59" s="109"/>
    </row>
    <row r="60" spans="1:12" s="108" customFormat="1" ht="26.25" customHeight="1" x14ac:dyDescent="0.4">
      <c r="A60" s="121" t="s">
        <v>93</v>
      </c>
      <c r="B60" s="122">
        <v>4</v>
      </c>
      <c r="C60" s="483" t="s">
        <v>94</v>
      </c>
      <c r="D60" s="486">
        <f>'Tenofovir Disoproxil Fumurate'!D60:D63</f>
        <v>870.45</v>
      </c>
      <c r="E60" s="176">
        <v>1</v>
      </c>
      <c r="F60" s="177">
        <v>22841254</v>
      </c>
      <c r="G60" s="178">
        <f>IF(ISBLANK(F60),"-",(F60/$D$50*$D$47*$B$68)*($B$57/$D$60))</f>
        <v>290.23519990910205</v>
      </c>
      <c r="H60" s="179">
        <f t="shared" ref="H60:H71" si="0">IF(ISBLANK(F60),"-",(G60/$B$56)*100)</f>
        <v>96.745066636367355</v>
      </c>
      <c r="L60" s="109"/>
    </row>
    <row r="61" spans="1:12" s="108" customFormat="1" ht="26.25" customHeight="1" x14ac:dyDescent="0.4">
      <c r="A61" s="121" t="s">
        <v>95</v>
      </c>
      <c r="B61" s="122">
        <v>50</v>
      </c>
      <c r="C61" s="484"/>
      <c r="D61" s="487"/>
      <c r="E61" s="180">
        <v>2</v>
      </c>
      <c r="F61" s="134">
        <v>22832337</v>
      </c>
      <c r="G61" s="181">
        <f>IF(ISBLANK(F61),"-",(F61/$D$50*$D$47*$B$68)*($B$57/$D$60))</f>
        <v>290.1218949531837</v>
      </c>
      <c r="H61" s="182">
        <f t="shared" si="0"/>
        <v>96.70729831772789</v>
      </c>
      <c r="L61" s="109"/>
    </row>
    <row r="62" spans="1:12" s="108" customFormat="1" ht="26.25" customHeight="1" x14ac:dyDescent="0.4">
      <c r="A62" s="121" t="s">
        <v>96</v>
      </c>
      <c r="B62" s="122">
        <v>1</v>
      </c>
      <c r="C62" s="484"/>
      <c r="D62" s="487"/>
      <c r="E62" s="180">
        <v>3</v>
      </c>
      <c r="F62" s="183">
        <v>22654769</v>
      </c>
      <c r="G62" s="181">
        <f>IF(ISBLANK(F62),"-",(F62/$D$50*$D$47*$B$68)*($B$57/$D$60))</f>
        <v>287.8656053476542</v>
      </c>
      <c r="H62" s="182">
        <f t="shared" si="0"/>
        <v>95.955201782551399</v>
      </c>
      <c r="L62" s="109"/>
    </row>
    <row r="63" spans="1:12" ht="27" customHeight="1" thickBot="1" x14ac:dyDescent="0.45">
      <c r="A63" s="121" t="s">
        <v>97</v>
      </c>
      <c r="B63" s="122">
        <v>1</v>
      </c>
      <c r="C63" s="485"/>
      <c r="D63" s="488"/>
      <c r="E63" s="184">
        <v>4</v>
      </c>
      <c r="F63" s="185"/>
      <c r="G63" s="181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1" t="s">
        <v>98</v>
      </c>
      <c r="B64" s="122">
        <v>1</v>
      </c>
      <c r="C64" s="483" t="s">
        <v>99</v>
      </c>
      <c r="D64" s="486">
        <v>883.47</v>
      </c>
      <c r="E64" s="176">
        <v>1</v>
      </c>
      <c r="F64" s="177">
        <v>22454919</v>
      </c>
      <c r="G64" s="178">
        <f>IF(ISBLANK(F64),"-",(F64/$D$50*$D$47*$B$68)*($B$57/$D$64))</f>
        <v>281.12123702624098</v>
      </c>
      <c r="H64" s="179">
        <f t="shared" si="0"/>
        <v>93.707079008747002</v>
      </c>
    </row>
    <row r="65" spans="1:8" ht="26.25" customHeight="1" x14ac:dyDescent="0.4">
      <c r="A65" s="121" t="s">
        <v>100</v>
      </c>
      <c r="B65" s="122">
        <v>1</v>
      </c>
      <c r="C65" s="484"/>
      <c r="D65" s="487"/>
      <c r="E65" s="180">
        <v>2</v>
      </c>
      <c r="F65" s="134">
        <v>22500924</v>
      </c>
      <c r="G65" s="181">
        <f>IF(ISBLANK(F65),"-",(F65/$D$50*$D$47*$B$68)*($B$57/$D$64))</f>
        <v>281.69719022871709</v>
      </c>
      <c r="H65" s="182">
        <f t="shared" si="0"/>
        <v>93.899063409572364</v>
      </c>
    </row>
    <row r="66" spans="1:8" ht="26.25" customHeight="1" x14ac:dyDescent="0.4">
      <c r="A66" s="121" t="s">
        <v>101</v>
      </c>
      <c r="B66" s="122">
        <v>1</v>
      </c>
      <c r="C66" s="484"/>
      <c r="D66" s="487"/>
      <c r="E66" s="180">
        <v>3</v>
      </c>
      <c r="F66" s="134">
        <v>22492003</v>
      </c>
      <c r="G66" s="181">
        <f>IF(ISBLANK(F66),"-",(F66/$D$50*$D$47*$B$68)*($B$57/$D$64))</f>
        <v>281.58550500929988</v>
      </c>
      <c r="H66" s="182">
        <f t="shared" si="0"/>
        <v>93.861835003099955</v>
      </c>
    </row>
    <row r="67" spans="1:8" ht="27" customHeight="1" thickBot="1" x14ac:dyDescent="0.45">
      <c r="A67" s="121" t="s">
        <v>102</v>
      </c>
      <c r="B67" s="122">
        <v>1</v>
      </c>
      <c r="C67" s="485"/>
      <c r="D67" s="488"/>
      <c r="E67" s="184">
        <v>4</v>
      </c>
      <c r="F67" s="185"/>
      <c r="G67" s="186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4">
      <c r="A68" s="121" t="s">
        <v>103</v>
      </c>
      <c r="B68" s="188">
        <f>(B67/B66)*(B65/B64)*(B63/B62)*(B61/B60)*B59</f>
        <v>2500</v>
      </c>
      <c r="C68" s="483" t="s">
        <v>104</v>
      </c>
      <c r="D68" s="486">
        <v>872.68</v>
      </c>
      <c r="E68" s="176">
        <v>1</v>
      </c>
      <c r="F68" s="177">
        <v>21926288</v>
      </c>
      <c r="G68" s="178">
        <f>IF(ISBLANK(F68),"-",(F68/$D$50*$D$47*$B$68)*($B$57/$D$68))</f>
        <v>277.89712924397094</v>
      </c>
      <c r="H68" s="182">
        <f t="shared" si="0"/>
        <v>92.632376414656974</v>
      </c>
    </row>
    <row r="69" spans="1:8" ht="27" customHeight="1" thickBot="1" x14ac:dyDescent="0.45">
      <c r="A69" s="167" t="s">
        <v>105</v>
      </c>
      <c r="B69" s="189">
        <f>(D47*B68)/B56*B57</f>
        <v>869.21750000000009</v>
      </c>
      <c r="C69" s="484"/>
      <c r="D69" s="487"/>
      <c r="E69" s="180">
        <v>2</v>
      </c>
      <c r="F69" s="134">
        <v>21927524</v>
      </c>
      <c r="G69" s="181">
        <f>IF(ISBLANK(F69),"-",(F69/$D$50*$D$47*$B$68)*($B$57/$D$68))</f>
        <v>277.91279449710208</v>
      </c>
      <c r="H69" s="182">
        <f t="shared" si="0"/>
        <v>92.637598165700695</v>
      </c>
    </row>
    <row r="70" spans="1:8" ht="26.25" customHeight="1" x14ac:dyDescent="0.4">
      <c r="A70" s="490" t="s">
        <v>78</v>
      </c>
      <c r="B70" s="491"/>
      <c r="C70" s="484"/>
      <c r="D70" s="487"/>
      <c r="E70" s="180">
        <v>3</v>
      </c>
      <c r="F70" s="134">
        <v>22011203</v>
      </c>
      <c r="G70" s="181">
        <f>IF(ISBLANK(F70),"-",(F70/$D$50*$D$47*$B$68)*($B$57/$D$68))</f>
        <v>278.97335494755339</v>
      </c>
      <c r="H70" s="182">
        <f t="shared" si="0"/>
        <v>92.991118315851125</v>
      </c>
    </row>
    <row r="71" spans="1:8" ht="27" customHeight="1" thickBot="1" x14ac:dyDescent="0.45">
      <c r="A71" s="492"/>
      <c r="B71" s="493"/>
      <c r="C71" s="489"/>
      <c r="D71" s="488"/>
      <c r="E71" s="184">
        <v>4</v>
      </c>
      <c r="F71" s="185"/>
      <c r="G71" s="186" t="str">
        <f>IF(ISBLANK(F71),"-",(F71/$D$50*$D$47*$B$68)*($B$57/$D$68))</f>
        <v>-</v>
      </c>
      <c r="H71" s="187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90" t="s">
        <v>71</v>
      </c>
      <c r="G72" s="191">
        <f>AVERAGE(G60:G71)</f>
        <v>283.04554568475822</v>
      </c>
      <c r="H72" s="192">
        <f>AVERAGE(H60:H71)</f>
        <v>94.348515228252751</v>
      </c>
    </row>
    <row r="73" spans="1:8" ht="26.25" customHeight="1" x14ac:dyDescent="0.4">
      <c r="C73" s="151"/>
      <c r="D73" s="151"/>
      <c r="E73" s="151"/>
      <c r="F73" s="193" t="s">
        <v>84</v>
      </c>
      <c r="G73" s="194">
        <f>STDEV(G60:G71)/G72</f>
        <v>1.7756869344436505E-2</v>
      </c>
      <c r="H73" s="194">
        <f>STDEV(H60:H71)/H72</f>
        <v>1.7756869344436505E-2</v>
      </c>
    </row>
    <row r="74" spans="1:8" ht="27" customHeight="1" thickBot="1" x14ac:dyDescent="0.45">
      <c r="A74" s="151"/>
      <c r="B74" s="151"/>
      <c r="C74" s="151"/>
      <c r="D74" s="151"/>
      <c r="E74" s="153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4" t="s">
        <v>106</v>
      </c>
      <c r="B76" s="105" t="s">
        <v>107</v>
      </c>
      <c r="C76" s="472" t="str">
        <f>B26</f>
        <v>Lamivudine</v>
      </c>
      <c r="D76" s="472"/>
      <c r="E76" s="94" t="s">
        <v>108</v>
      </c>
      <c r="F76" s="94"/>
      <c r="G76" s="197">
        <f>H72</f>
        <v>94.348515228252751</v>
      </c>
      <c r="H76" s="110"/>
    </row>
    <row r="77" spans="1:8" ht="18.75" x14ac:dyDescent="0.3">
      <c r="A77" s="103" t="s">
        <v>109</v>
      </c>
      <c r="B77" s="103" t="s">
        <v>110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474" t="str">
        <f>B26</f>
        <v>Lamivudine</v>
      </c>
      <c r="C79" s="474"/>
    </row>
    <row r="80" spans="1:8" ht="26.25" customHeight="1" x14ac:dyDescent="0.4">
      <c r="A80" s="105" t="s">
        <v>48</v>
      </c>
      <c r="B80" s="474" t="str">
        <f>B27</f>
        <v>L42</v>
      </c>
      <c r="C80" s="474"/>
    </row>
    <row r="81" spans="1:12" ht="27" customHeight="1" thickBot="1" x14ac:dyDescent="0.45">
      <c r="A81" s="105" t="s">
        <v>6</v>
      </c>
      <c r="B81" s="106">
        <f>B28</f>
        <v>99.8</v>
      </c>
    </row>
    <row r="82" spans="1:12" s="108" customFormat="1" ht="27" customHeight="1" thickBot="1" x14ac:dyDescent="0.45">
      <c r="A82" s="105" t="s">
        <v>49</v>
      </c>
      <c r="B82" s="107">
        <v>0</v>
      </c>
      <c r="C82" s="475" t="s">
        <v>50</v>
      </c>
      <c r="D82" s="476"/>
      <c r="E82" s="476"/>
      <c r="F82" s="476"/>
      <c r="G82" s="477"/>
      <c r="I82" s="109"/>
      <c r="J82" s="109"/>
      <c r="K82" s="109"/>
      <c r="L82" s="109"/>
    </row>
    <row r="83" spans="1:12" s="108" customFormat="1" ht="19.5" customHeight="1" thickBot="1" x14ac:dyDescent="0.35">
      <c r="A83" s="105" t="s">
        <v>51</v>
      </c>
      <c r="B83" s="110">
        <f>B81-B82</f>
        <v>99.8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08" customFormat="1" ht="27" customHeight="1" thickBot="1" x14ac:dyDescent="0.45">
      <c r="A84" s="105" t="s">
        <v>52</v>
      </c>
      <c r="B84" s="113">
        <v>1</v>
      </c>
      <c r="C84" s="478" t="s">
        <v>111</v>
      </c>
      <c r="D84" s="479"/>
      <c r="E84" s="479"/>
      <c r="F84" s="479"/>
      <c r="G84" s="479"/>
      <c r="H84" s="480"/>
      <c r="I84" s="109"/>
      <c r="J84" s="109"/>
      <c r="K84" s="109"/>
      <c r="L84" s="109"/>
    </row>
    <row r="85" spans="1:12" s="108" customFormat="1" ht="27" customHeight="1" thickBot="1" x14ac:dyDescent="0.45">
      <c r="A85" s="105" t="s">
        <v>54</v>
      </c>
      <c r="B85" s="113">
        <v>1</v>
      </c>
      <c r="C85" s="478" t="s">
        <v>112</v>
      </c>
      <c r="D85" s="479"/>
      <c r="E85" s="479"/>
      <c r="F85" s="479"/>
      <c r="G85" s="479"/>
      <c r="H85" s="480"/>
      <c r="I85" s="109"/>
      <c r="J85" s="109"/>
      <c r="K85" s="109"/>
      <c r="L85" s="109"/>
    </row>
    <row r="86" spans="1:12" s="108" customFormat="1" ht="18.75" x14ac:dyDescent="0.3">
      <c r="A86" s="105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08" customFormat="1" ht="18.75" x14ac:dyDescent="0.3">
      <c r="A87" s="105" t="s">
        <v>56</v>
      </c>
      <c r="B87" s="118">
        <f>B84/B85</f>
        <v>1</v>
      </c>
      <c r="C87" s="94" t="s">
        <v>57</v>
      </c>
      <c r="D87" s="94"/>
      <c r="E87" s="94"/>
      <c r="F87" s="94"/>
      <c r="G87" s="94"/>
      <c r="I87" s="109"/>
      <c r="J87" s="109"/>
      <c r="K87" s="109"/>
      <c r="L87" s="109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9" t="s">
        <v>58</v>
      </c>
      <c r="B89" s="120">
        <v>50</v>
      </c>
      <c r="D89" s="198" t="s">
        <v>59</v>
      </c>
      <c r="E89" s="199"/>
      <c r="F89" s="481" t="s">
        <v>60</v>
      </c>
      <c r="G89" s="482"/>
    </row>
    <row r="90" spans="1:12" ht="27" customHeight="1" thickBot="1" x14ac:dyDescent="0.45">
      <c r="A90" s="121" t="s">
        <v>61</v>
      </c>
      <c r="B90" s="122">
        <v>1</v>
      </c>
      <c r="C90" s="200" t="s">
        <v>62</v>
      </c>
      <c r="D90" s="124" t="s">
        <v>63</v>
      </c>
      <c r="E90" s="125" t="s">
        <v>64</v>
      </c>
      <c r="F90" s="124" t="s">
        <v>63</v>
      </c>
      <c r="G90" s="201" t="s">
        <v>64</v>
      </c>
      <c r="I90" s="127" t="s">
        <v>65</v>
      </c>
    </row>
    <row r="91" spans="1:12" ht="26.25" customHeight="1" x14ac:dyDescent="0.4">
      <c r="A91" s="121" t="s">
        <v>66</v>
      </c>
      <c r="B91" s="122">
        <v>1</v>
      </c>
      <c r="C91" s="202">
        <v>1</v>
      </c>
      <c r="D91" s="129">
        <v>65343968</v>
      </c>
      <c r="E91" s="130">
        <f>IF(ISBLANK(D91),"-",$D$101/$D$98*D91)</f>
        <v>57942405.164310925</v>
      </c>
      <c r="F91" s="129">
        <v>65365661</v>
      </c>
      <c r="G91" s="131">
        <f>IF(ISBLANK(F91),"-",$D$101/$F$98*F91)</f>
        <v>58271044.758556262</v>
      </c>
      <c r="I91" s="132"/>
    </row>
    <row r="92" spans="1:12" ht="26.25" customHeight="1" x14ac:dyDescent="0.4">
      <c r="A92" s="121" t="s">
        <v>67</v>
      </c>
      <c r="B92" s="122">
        <v>1</v>
      </c>
      <c r="C92" s="151">
        <v>2</v>
      </c>
      <c r="D92" s="134">
        <v>65959798</v>
      </c>
      <c r="E92" s="135">
        <f>IF(ISBLANK(D92),"-",$D$101/$D$98*D92)</f>
        <v>58488479.614095449</v>
      </c>
      <c r="F92" s="134">
        <v>64727566</v>
      </c>
      <c r="G92" s="136">
        <f>IF(ISBLANK(F92),"-",$D$101/$F$98*F92)</f>
        <v>57702206.904913031</v>
      </c>
      <c r="I92" s="463">
        <f>ABS((F96/D96*D95)-F95)/D95</f>
        <v>4.7060840755851823E-3</v>
      </c>
    </row>
    <row r="93" spans="1:12" ht="26.25" customHeight="1" x14ac:dyDescent="0.4">
      <c r="A93" s="121" t="s">
        <v>68</v>
      </c>
      <c r="B93" s="122">
        <v>1</v>
      </c>
      <c r="C93" s="151">
        <v>3</v>
      </c>
      <c r="D93" s="134">
        <v>65438815</v>
      </c>
      <c r="E93" s="135">
        <f>IF(ISBLANK(D93),"-",$D$101/$D$98*D93)</f>
        <v>58026508.769751899</v>
      </c>
      <c r="F93" s="134">
        <v>64678816</v>
      </c>
      <c r="G93" s="136">
        <f>IF(ISBLANK(F93),"-",$D$101/$F$98*F93)</f>
        <v>57658748.101184577</v>
      </c>
      <c r="I93" s="463"/>
    </row>
    <row r="94" spans="1:12" ht="27" customHeight="1" thickBot="1" x14ac:dyDescent="0.45">
      <c r="A94" s="121" t="s">
        <v>69</v>
      </c>
      <c r="B94" s="122">
        <v>1</v>
      </c>
      <c r="C94" s="203">
        <v>4</v>
      </c>
      <c r="D94" s="138"/>
      <c r="E94" s="139" t="str">
        <f>IF(ISBLANK(D94),"-",$D$101/$D$98*D94)</f>
        <v>-</v>
      </c>
      <c r="F94" s="204"/>
      <c r="G94" s="140" t="str">
        <f>IF(ISBLANK(F94),"-",$D$101/$F$98*F94)</f>
        <v>-</v>
      </c>
      <c r="I94" s="141"/>
    </row>
    <row r="95" spans="1:12" ht="27" customHeight="1" thickBot="1" x14ac:dyDescent="0.45">
      <c r="A95" s="121" t="s">
        <v>70</v>
      </c>
      <c r="B95" s="122">
        <v>1</v>
      </c>
      <c r="C95" s="105" t="s">
        <v>71</v>
      </c>
      <c r="D95" s="205">
        <f>AVERAGE(D91:D94)</f>
        <v>65580860.333333336</v>
      </c>
      <c r="E95" s="144">
        <f>AVERAGE(E91:E94)</f>
        <v>58152464.51605276</v>
      </c>
      <c r="F95" s="206">
        <f>AVERAGE(F91:F94)</f>
        <v>64924014.333333336</v>
      </c>
      <c r="G95" s="207">
        <f>AVERAGE(G91:G94)</f>
        <v>57877333.254884623</v>
      </c>
    </row>
    <row r="96" spans="1:12" ht="26.25" customHeight="1" x14ac:dyDescent="0.4">
      <c r="A96" s="121" t="s">
        <v>72</v>
      </c>
      <c r="B96" s="106">
        <v>1</v>
      </c>
      <c r="C96" s="208" t="s">
        <v>113</v>
      </c>
      <c r="D96" s="209">
        <v>16.95</v>
      </c>
      <c r="E96" s="94"/>
      <c r="F96" s="148">
        <v>16.86</v>
      </c>
    </row>
    <row r="97" spans="1:10" ht="26.25" customHeight="1" x14ac:dyDescent="0.4">
      <c r="A97" s="121" t="s">
        <v>74</v>
      </c>
      <c r="B97" s="106">
        <v>1</v>
      </c>
      <c r="C97" s="210" t="s">
        <v>114</v>
      </c>
      <c r="D97" s="211">
        <f>D96*$B$87</f>
        <v>16.95</v>
      </c>
      <c r="E97" s="151"/>
      <c r="F97" s="150">
        <f>F96*$B$87</f>
        <v>16.86</v>
      </c>
    </row>
    <row r="98" spans="1:10" ht="19.5" customHeight="1" thickBot="1" x14ac:dyDescent="0.35">
      <c r="A98" s="121" t="s">
        <v>76</v>
      </c>
      <c r="B98" s="151">
        <f>(B97/B96)*(B95/B94)*(B93/B92)*(B91/B90)*B89</f>
        <v>50</v>
      </c>
      <c r="C98" s="210" t="s">
        <v>115</v>
      </c>
      <c r="D98" s="212">
        <f>D97*$B$83/100</f>
        <v>16.9161</v>
      </c>
      <c r="E98" s="153"/>
      <c r="F98" s="152">
        <f>F97*$B$83/100</f>
        <v>16.826280000000001</v>
      </c>
    </row>
    <row r="99" spans="1:10" ht="19.5" customHeight="1" thickBot="1" x14ac:dyDescent="0.35">
      <c r="A99" s="464" t="s">
        <v>78</v>
      </c>
      <c r="B99" s="465"/>
      <c r="C99" s="210" t="s">
        <v>116</v>
      </c>
      <c r="D99" s="213">
        <f>D98/$B$98</f>
        <v>0.33832200000000001</v>
      </c>
      <c r="E99" s="153"/>
      <c r="F99" s="156">
        <f>F98/$B$98</f>
        <v>0.33652560000000004</v>
      </c>
      <c r="H99" s="146"/>
    </row>
    <row r="100" spans="1:10" ht="19.5" customHeight="1" thickBot="1" x14ac:dyDescent="0.35">
      <c r="A100" s="466"/>
      <c r="B100" s="467"/>
      <c r="C100" s="210" t="s">
        <v>80</v>
      </c>
      <c r="D100" s="214">
        <f>$B$56/$B$116</f>
        <v>0.3</v>
      </c>
      <c r="F100" s="161"/>
      <c r="G100" s="215"/>
      <c r="H100" s="146"/>
    </row>
    <row r="101" spans="1:10" ht="18.75" x14ac:dyDescent="0.3">
      <c r="C101" s="210" t="s">
        <v>81</v>
      </c>
      <c r="D101" s="211">
        <f>D100*$B$98</f>
        <v>15</v>
      </c>
      <c r="F101" s="161"/>
      <c r="H101" s="146"/>
    </row>
    <row r="102" spans="1:10" ht="19.5" customHeight="1" thickBot="1" x14ac:dyDescent="0.35">
      <c r="C102" s="216" t="s">
        <v>82</v>
      </c>
      <c r="D102" s="217">
        <f>D101/B34</f>
        <v>15</v>
      </c>
      <c r="F102" s="165"/>
      <c r="H102" s="146"/>
      <c r="J102" s="218"/>
    </row>
    <row r="103" spans="1:10" ht="18.75" x14ac:dyDescent="0.3">
      <c r="C103" s="219" t="s">
        <v>117</v>
      </c>
      <c r="D103" s="220">
        <f>AVERAGE(E91:E94,G91:G94)</f>
        <v>58014898.885468684</v>
      </c>
      <c r="F103" s="165"/>
      <c r="G103" s="215"/>
      <c r="H103" s="146"/>
      <c r="J103" s="221"/>
    </row>
    <row r="104" spans="1:10" ht="18.75" x14ac:dyDescent="0.3">
      <c r="C104" s="193" t="s">
        <v>84</v>
      </c>
      <c r="D104" s="222">
        <f>STDEV(E91:E94,G91:G94)/D103</f>
        <v>5.5582110417273694E-3</v>
      </c>
      <c r="F104" s="165"/>
      <c r="H104" s="146"/>
      <c r="J104" s="221"/>
    </row>
    <row r="105" spans="1:10" ht="19.5" customHeight="1" thickBot="1" x14ac:dyDescent="0.35">
      <c r="C105" s="195" t="s">
        <v>20</v>
      </c>
      <c r="D105" s="223">
        <f>COUNT(E91:E94,G91:G94)</f>
        <v>6</v>
      </c>
      <c r="F105" s="165"/>
      <c r="H105" s="146"/>
      <c r="J105" s="221"/>
    </row>
    <row r="106" spans="1:10" ht="19.5" customHeight="1" thickBot="1" x14ac:dyDescent="0.35">
      <c r="A106" s="169"/>
      <c r="B106" s="169"/>
      <c r="C106" s="169"/>
      <c r="D106" s="169"/>
      <c r="E106" s="169"/>
    </row>
    <row r="107" spans="1:10" ht="27" customHeight="1" thickBot="1" x14ac:dyDescent="0.45">
      <c r="A107" s="119" t="s">
        <v>118</v>
      </c>
      <c r="B107" s="120">
        <v>1000</v>
      </c>
      <c r="C107" s="175" t="s">
        <v>119</v>
      </c>
      <c r="D107" s="175" t="s">
        <v>63</v>
      </c>
      <c r="E107" s="175" t="s">
        <v>120</v>
      </c>
      <c r="F107" s="224" t="s">
        <v>121</v>
      </c>
    </row>
    <row r="108" spans="1:10" ht="26.25" customHeight="1" x14ac:dyDescent="0.4">
      <c r="A108" s="121" t="s">
        <v>122</v>
      </c>
      <c r="B108" s="122">
        <v>1</v>
      </c>
      <c r="C108" s="176">
        <v>1</v>
      </c>
      <c r="D108" s="225">
        <v>57275575</v>
      </c>
      <c r="E108" s="226">
        <f t="shared" ref="E108:E113" si="1">IF(ISBLANK(D108),"-",D108/$D$103*$D$100*$B$116)</f>
        <v>296.17689300676932</v>
      </c>
      <c r="F108" s="227">
        <f t="shared" ref="F108:F113" si="2">IF(ISBLANK(D108), "-", (E108/$B$56)*100)</f>
        <v>98.725631002256449</v>
      </c>
    </row>
    <row r="109" spans="1:10" ht="26.25" customHeight="1" x14ac:dyDescent="0.4">
      <c r="A109" s="121" t="s">
        <v>95</v>
      </c>
      <c r="B109" s="122">
        <v>1</v>
      </c>
      <c r="C109" s="180">
        <v>2</v>
      </c>
      <c r="D109" s="228">
        <v>58578195</v>
      </c>
      <c r="E109" s="229">
        <f t="shared" si="1"/>
        <v>302.91285234665332</v>
      </c>
      <c r="F109" s="230">
        <f t="shared" si="2"/>
        <v>100.97095078221778</v>
      </c>
    </row>
    <row r="110" spans="1:10" ht="26.25" customHeight="1" x14ac:dyDescent="0.4">
      <c r="A110" s="121" t="s">
        <v>96</v>
      </c>
      <c r="B110" s="122">
        <v>1</v>
      </c>
      <c r="C110" s="180">
        <v>3</v>
      </c>
      <c r="D110" s="228">
        <v>56560363</v>
      </c>
      <c r="E110" s="229">
        <f t="shared" si="1"/>
        <v>292.47847063386155</v>
      </c>
      <c r="F110" s="230">
        <f t="shared" si="2"/>
        <v>97.492823544620506</v>
      </c>
    </row>
    <row r="111" spans="1:10" ht="26.25" customHeight="1" x14ac:dyDescent="0.4">
      <c r="A111" s="121" t="s">
        <v>97</v>
      </c>
      <c r="B111" s="122">
        <v>1</v>
      </c>
      <c r="C111" s="180">
        <v>4</v>
      </c>
      <c r="D111" s="228">
        <v>57192279</v>
      </c>
      <c r="E111" s="229">
        <f t="shared" si="1"/>
        <v>295.7461622724224</v>
      </c>
      <c r="F111" s="230">
        <f t="shared" si="2"/>
        <v>98.582054090807475</v>
      </c>
    </row>
    <row r="112" spans="1:10" ht="26.25" customHeight="1" x14ac:dyDescent="0.4">
      <c r="A112" s="121" t="s">
        <v>98</v>
      </c>
      <c r="B112" s="122">
        <v>1</v>
      </c>
      <c r="C112" s="180">
        <v>5</v>
      </c>
      <c r="D112" s="228">
        <v>56751861</v>
      </c>
      <c r="E112" s="229">
        <f t="shared" si="1"/>
        <v>293.46872315698346</v>
      </c>
      <c r="F112" s="230">
        <f t="shared" si="2"/>
        <v>97.822907718994486</v>
      </c>
    </row>
    <row r="113" spans="1:10" ht="27" customHeight="1" thickBot="1" x14ac:dyDescent="0.45">
      <c r="A113" s="121" t="s">
        <v>100</v>
      </c>
      <c r="B113" s="122">
        <v>1</v>
      </c>
      <c r="C113" s="184">
        <v>6</v>
      </c>
      <c r="D113" s="231">
        <v>58723950</v>
      </c>
      <c r="E113" s="232">
        <f t="shared" si="1"/>
        <v>303.66656390764945</v>
      </c>
      <c r="F113" s="233">
        <f t="shared" si="2"/>
        <v>101.22218796921649</v>
      </c>
    </row>
    <row r="114" spans="1:10" ht="27" customHeight="1" thickBot="1" x14ac:dyDescent="0.45">
      <c r="A114" s="121" t="s">
        <v>101</v>
      </c>
      <c r="B114" s="122">
        <v>1</v>
      </c>
      <c r="C114" s="234"/>
      <c r="D114" s="151"/>
      <c r="E114" s="94"/>
      <c r="F114" s="230"/>
    </row>
    <row r="115" spans="1:10" ht="26.25" customHeight="1" x14ac:dyDescent="0.4">
      <c r="A115" s="121" t="s">
        <v>102</v>
      </c>
      <c r="B115" s="122">
        <v>1</v>
      </c>
      <c r="C115" s="234"/>
      <c r="D115" s="235" t="s">
        <v>71</v>
      </c>
      <c r="E115" s="236">
        <f>AVERAGE(E108:E113)</f>
        <v>297.40827755405661</v>
      </c>
      <c r="F115" s="237">
        <f>AVERAGE(F108:F113)</f>
        <v>99.136092518018856</v>
      </c>
    </row>
    <row r="116" spans="1:10" ht="27" customHeight="1" thickBot="1" x14ac:dyDescent="0.45">
      <c r="A116" s="121" t="s">
        <v>103</v>
      </c>
      <c r="B116" s="133">
        <f>(B115/B114)*(B113/B112)*(B111/B110)*(B109/B108)*B107</f>
        <v>1000</v>
      </c>
      <c r="C116" s="238"/>
      <c r="D116" s="239" t="s">
        <v>84</v>
      </c>
      <c r="E116" s="194">
        <f>STDEV(E108:E113)/E115</f>
        <v>1.6024737119505601E-2</v>
      </c>
      <c r="F116" s="240">
        <f>STDEV(F108:F113)/F115</f>
        <v>1.6024737119505656E-2</v>
      </c>
      <c r="I116" s="94"/>
    </row>
    <row r="117" spans="1:10" ht="27" customHeight="1" thickBot="1" x14ac:dyDescent="0.45">
      <c r="A117" s="464" t="s">
        <v>78</v>
      </c>
      <c r="B117" s="468"/>
      <c r="C117" s="241"/>
      <c r="D117" s="195" t="s">
        <v>20</v>
      </c>
      <c r="E117" s="242">
        <f>COUNT(E108:E113)</f>
        <v>6</v>
      </c>
      <c r="F117" s="243">
        <f>COUNT(F108:F113)</f>
        <v>6</v>
      </c>
      <c r="I117" s="94"/>
      <c r="J117" s="221"/>
    </row>
    <row r="118" spans="1:10" ht="26.25" customHeight="1" thickBot="1" x14ac:dyDescent="0.35">
      <c r="A118" s="466"/>
      <c r="B118" s="469"/>
      <c r="C118" s="94"/>
      <c r="D118" s="244"/>
      <c r="E118" s="470" t="s">
        <v>123</v>
      </c>
      <c r="F118" s="471"/>
      <c r="G118" s="94"/>
      <c r="H118" s="94"/>
      <c r="I118" s="94"/>
    </row>
    <row r="119" spans="1:10" ht="25.5" customHeight="1" x14ac:dyDescent="0.4">
      <c r="A119" s="245"/>
      <c r="B119" s="117"/>
      <c r="C119" s="94"/>
      <c r="D119" s="239" t="s">
        <v>124</v>
      </c>
      <c r="E119" s="246">
        <f>MIN(E108:E113)</f>
        <v>292.47847063386155</v>
      </c>
      <c r="F119" s="247">
        <f>MIN(F108:F113)</f>
        <v>97.492823544620506</v>
      </c>
      <c r="G119" s="94"/>
      <c r="H119" s="94"/>
      <c r="I119" s="94"/>
    </row>
    <row r="120" spans="1:10" ht="24" customHeight="1" thickBot="1" x14ac:dyDescent="0.45">
      <c r="A120" s="245"/>
      <c r="B120" s="117"/>
      <c r="C120" s="94"/>
      <c r="D120" s="162" t="s">
        <v>125</v>
      </c>
      <c r="E120" s="248">
        <f>MAX(E108:E113)</f>
        <v>303.66656390764945</v>
      </c>
      <c r="F120" s="249">
        <f>MAX(F108:F113)</f>
        <v>101.22218796921649</v>
      </c>
      <c r="G120" s="94"/>
      <c r="H120" s="94"/>
      <c r="I120" s="94"/>
    </row>
    <row r="121" spans="1:10" ht="27" customHeight="1" x14ac:dyDescent="0.3">
      <c r="A121" s="245"/>
      <c r="B121" s="117"/>
      <c r="C121" s="94"/>
      <c r="D121" s="94"/>
      <c r="E121" s="94"/>
      <c r="F121" s="151"/>
      <c r="G121" s="94"/>
      <c r="H121" s="94"/>
      <c r="I121" s="94"/>
    </row>
    <row r="122" spans="1:10" ht="25.5" customHeight="1" x14ac:dyDescent="0.3">
      <c r="A122" s="245"/>
      <c r="B122" s="117"/>
      <c r="C122" s="94"/>
      <c r="D122" s="94"/>
      <c r="E122" s="94"/>
      <c r="F122" s="151"/>
      <c r="G122" s="94"/>
      <c r="H122" s="94"/>
      <c r="I122" s="94"/>
    </row>
    <row r="123" spans="1:10" ht="18.75" x14ac:dyDescent="0.3">
      <c r="A123" s="245"/>
      <c r="B123" s="117"/>
      <c r="C123" s="94"/>
      <c r="D123" s="94"/>
      <c r="E123" s="94"/>
      <c r="F123" s="151"/>
      <c r="G123" s="94"/>
      <c r="H123" s="94"/>
      <c r="I123" s="94"/>
    </row>
    <row r="124" spans="1:10" ht="45.75" customHeight="1" x14ac:dyDescent="0.65">
      <c r="A124" s="104" t="s">
        <v>106</v>
      </c>
      <c r="B124" s="105" t="s">
        <v>126</v>
      </c>
      <c r="C124" s="472" t="str">
        <f>B26</f>
        <v>Lamivudine</v>
      </c>
      <c r="D124" s="472"/>
      <c r="E124" s="94" t="s">
        <v>127</v>
      </c>
      <c r="F124" s="94"/>
      <c r="G124" s="250">
        <f>F115</f>
        <v>99.136092518018856</v>
      </c>
      <c r="H124" s="94"/>
      <c r="I124" s="94"/>
    </row>
    <row r="125" spans="1:10" ht="45.75" customHeight="1" x14ac:dyDescent="0.65">
      <c r="A125" s="104"/>
      <c r="B125" s="105" t="s">
        <v>128</v>
      </c>
      <c r="C125" s="105" t="s">
        <v>129</v>
      </c>
      <c r="D125" s="250">
        <f>MIN(F108:F113)</f>
        <v>97.492823544620506</v>
      </c>
      <c r="E125" s="105" t="s">
        <v>130</v>
      </c>
      <c r="F125" s="250">
        <f>MAX(F108:F113)</f>
        <v>101.22218796921649</v>
      </c>
      <c r="G125" s="197"/>
      <c r="H125" s="94"/>
      <c r="I125" s="94"/>
    </row>
    <row r="126" spans="1:10" ht="19.5" customHeight="1" thickBot="1" x14ac:dyDescent="0.35">
      <c r="A126" s="251"/>
      <c r="B126" s="251"/>
      <c r="C126" s="252"/>
      <c r="D126" s="252"/>
      <c r="E126" s="252"/>
      <c r="F126" s="252"/>
      <c r="G126" s="252"/>
      <c r="H126" s="252"/>
    </row>
    <row r="127" spans="1:10" ht="18.75" x14ac:dyDescent="0.3">
      <c r="B127" s="473" t="s">
        <v>26</v>
      </c>
      <c r="C127" s="473"/>
      <c r="E127" s="200" t="s">
        <v>27</v>
      </c>
      <c r="F127" s="253"/>
      <c r="G127" s="473" t="s">
        <v>28</v>
      </c>
      <c r="H127" s="473"/>
    </row>
    <row r="128" spans="1:10" ht="69.95" customHeight="1" x14ac:dyDescent="0.3">
      <c r="A128" s="104" t="s">
        <v>29</v>
      </c>
      <c r="B128" s="254"/>
      <c r="C128" s="254"/>
      <c r="E128" s="254"/>
      <c r="F128" s="94"/>
      <c r="G128" s="254"/>
      <c r="H128" s="254"/>
    </row>
    <row r="129" spans="1:9" ht="69.95" customHeight="1" x14ac:dyDescent="0.3">
      <c r="A129" s="104" t="s">
        <v>30</v>
      </c>
      <c r="B129" s="255"/>
      <c r="C129" s="255"/>
      <c r="E129" s="255"/>
      <c r="F129" s="94"/>
      <c r="G129" s="256"/>
      <c r="H129" s="256"/>
    </row>
    <row r="130" spans="1:9" ht="18.75" x14ac:dyDescent="0.3">
      <c r="A130" s="151"/>
      <c r="B130" s="151"/>
      <c r="C130" s="151"/>
      <c r="D130" s="151"/>
      <c r="E130" s="151"/>
      <c r="F130" s="153"/>
      <c r="G130" s="151"/>
      <c r="H130" s="151"/>
      <c r="I130" s="94"/>
    </row>
    <row r="131" spans="1:9" ht="18.75" x14ac:dyDescent="0.3">
      <c r="A131" s="151"/>
      <c r="B131" s="151"/>
      <c r="C131" s="151"/>
      <c r="D131" s="151"/>
      <c r="E131" s="151"/>
      <c r="F131" s="153"/>
      <c r="G131" s="151"/>
      <c r="H131" s="151"/>
      <c r="I131" s="94"/>
    </row>
    <row r="132" spans="1:9" ht="18.75" x14ac:dyDescent="0.3">
      <c r="A132" s="151"/>
      <c r="B132" s="151"/>
      <c r="C132" s="151"/>
      <c r="D132" s="151"/>
      <c r="E132" s="151"/>
      <c r="F132" s="153"/>
      <c r="G132" s="151"/>
      <c r="H132" s="151"/>
      <c r="I132" s="94"/>
    </row>
    <row r="133" spans="1:9" ht="18.75" x14ac:dyDescent="0.3">
      <c r="A133" s="151"/>
      <c r="B133" s="151"/>
      <c r="C133" s="151"/>
      <c r="D133" s="151"/>
      <c r="E133" s="151"/>
      <c r="F133" s="153"/>
      <c r="G133" s="151"/>
      <c r="H133" s="151"/>
      <c r="I133" s="94"/>
    </row>
    <row r="134" spans="1:9" ht="18.75" x14ac:dyDescent="0.3">
      <c r="A134" s="151"/>
      <c r="B134" s="151"/>
      <c r="C134" s="151"/>
      <c r="D134" s="151"/>
      <c r="E134" s="151"/>
      <c r="F134" s="153"/>
      <c r="G134" s="151"/>
      <c r="H134" s="151"/>
      <c r="I134" s="94"/>
    </row>
    <row r="135" spans="1:9" ht="18.75" x14ac:dyDescent="0.3">
      <c r="A135" s="151"/>
      <c r="B135" s="151"/>
      <c r="C135" s="151"/>
      <c r="D135" s="151"/>
      <c r="E135" s="151"/>
      <c r="F135" s="153"/>
      <c r="G135" s="151"/>
      <c r="H135" s="151"/>
      <c r="I135" s="94"/>
    </row>
    <row r="136" spans="1:9" ht="18.75" x14ac:dyDescent="0.3">
      <c r="A136" s="151"/>
      <c r="B136" s="151"/>
      <c r="C136" s="151"/>
      <c r="D136" s="151"/>
      <c r="E136" s="151"/>
      <c r="F136" s="153"/>
      <c r="G136" s="151"/>
      <c r="H136" s="151"/>
      <c r="I136" s="94"/>
    </row>
    <row r="137" spans="1:9" ht="18.75" x14ac:dyDescent="0.3">
      <c r="A137" s="151"/>
      <c r="B137" s="151"/>
      <c r="C137" s="151"/>
      <c r="D137" s="151"/>
      <c r="E137" s="151"/>
      <c r="F137" s="153"/>
      <c r="G137" s="151"/>
      <c r="H137" s="151"/>
      <c r="I137" s="94"/>
    </row>
    <row r="138" spans="1:9" ht="18.75" x14ac:dyDescent="0.3">
      <c r="A138" s="151"/>
      <c r="B138" s="151"/>
      <c r="C138" s="151"/>
      <c r="D138" s="151"/>
      <c r="E138" s="151"/>
      <c r="F138" s="153"/>
      <c r="G138" s="151"/>
      <c r="H138" s="151"/>
      <c r="I138" s="94"/>
    </row>
    <row r="250" spans="1:1" x14ac:dyDescent="0.25">
      <c r="A250" s="92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J11" sqref="J1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09" t="s">
        <v>31</v>
      </c>
      <c r="B11" s="510"/>
      <c r="C11" s="510"/>
      <c r="D11" s="510"/>
      <c r="E11" s="510"/>
      <c r="F11" s="511"/>
      <c r="G11" s="41"/>
    </row>
    <row r="12" spans="1:7" ht="16.5" customHeight="1" x14ac:dyDescent="0.3">
      <c r="A12" s="508" t="s">
        <v>32</v>
      </c>
      <c r="B12" s="508"/>
      <c r="C12" s="508"/>
      <c r="D12" s="508"/>
      <c r="E12" s="508"/>
      <c r="F12" s="508"/>
      <c r="G12" s="40"/>
    </row>
    <row r="14" spans="1:7" ht="16.5" customHeight="1" x14ac:dyDescent="0.3">
      <c r="A14" s="513" t="s">
        <v>33</v>
      </c>
      <c r="B14" s="513"/>
      <c r="C14" s="10" t="s">
        <v>5</v>
      </c>
    </row>
    <row r="15" spans="1:7" ht="16.5" customHeight="1" x14ac:dyDescent="0.3">
      <c r="A15" s="513" t="s">
        <v>34</v>
      </c>
      <c r="B15" s="513"/>
      <c r="C15" s="10" t="s">
        <v>7</v>
      </c>
    </row>
    <row r="16" spans="1:7" ht="16.5" customHeight="1" x14ac:dyDescent="0.3">
      <c r="A16" s="513" t="s">
        <v>35</v>
      </c>
      <c r="B16" s="513"/>
      <c r="C16" s="10" t="s">
        <v>9</v>
      </c>
    </row>
    <row r="17" spans="1:5" ht="16.5" customHeight="1" x14ac:dyDescent="0.3">
      <c r="A17" s="513" t="s">
        <v>36</v>
      </c>
      <c r="B17" s="513"/>
      <c r="C17" s="10" t="s">
        <v>11</v>
      </c>
    </row>
    <row r="18" spans="1:5" ht="16.5" customHeight="1" x14ac:dyDescent="0.3">
      <c r="A18" s="513" t="s">
        <v>37</v>
      </c>
      <c r="B18" s="513"/>
      <c r="C18" s="47" t="s">
        <v>12</v>
      </c>
    </row>
    <row r="19" spans="1:5" ht="16.5" customHeight="1" x14ac:dyDescent="0.3">
      <c r="A19" s="513" t="s">
        <v>38</v>
      </c>
      <c r="B19" s="513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8" t="s">
        <v>1</v>
      </c>
      <c r="B21" s="508"/>
      <c r="C21" s="9" t="s">
        <v>39</v>
      </c>
      <c r="D21" s="16"/>
    </row>
    <row r="22" spans="1:5" ht="15.75" customHeight="1" x14ac:dyDescent="0.3">
      <c r="A22" s="512"/>
      <c r="B22" s="512"/>
      <c r="C22" s="7"/>
      <c r="D22" s="512"/>
      <c r="E22" s="512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875.29</v>
      </c>
      <c r="D24" s="37">
        <f t="shared" ref="D24:D43" si="0">(C24-$C$46)/$C$46</f>
        <v>3.2034567533336523E-3</v>
      </c>
      <c r="E24" s="3"/>
    </row>
    <row r="25" spans="1:5" ht="15.75" customHeight="1" x14ac:dyDescent="0.3">
      <c r="C25" s="45">
        <v>870.4</v>
      </c>
      <c r="D25" s="38">
        <f t="shared" si="0"/>
        <v>-2.4011598920339267E-3</v>
      </c>
      <c r="E25" s="3"/>
    </row>
    <row r="26" spans="1:5" ht="15.75" customHeight="1" x14ac:dyDescent="0.3">
      <c r="C26" s="45">
        <v>872.21</v>
      </c>
      <c r="D26" s="38">
        <f t="shared" si="0"/>
        <v>-3.2664943638654873E-4</v>
      </c>
      <c r="E26" s="3"/>
    </row>
    <row r="27" spans="1:5" ht="15.75" customHeight="1" x14ac:dyDescent="0.3">
      <c r="C27" s="45">
        <v>861.86</v>
      </c>
      <c r="D27" s="38">
        <f t="shared" si="0"/>
        <v>-1.2189181599894674E-2</v>
      </c>
      <c r="E27" s="3"/>
    </row>
    <row r="28" spans="1:5" ht="15.75" customHeight="1" x14ac:dyDescent="0.3">
      <c r="C28" s="45">
        <v>870.5</v>
      </c>
      <c r="D28" s="38">
        <f t="shared" si="0"/>
        <v>-2.2865460547053197E-3</v>
      </c>
      <c r="E28" s="3"/>
    </row>
    <row r="29" spans="1:5" ht="15.75" customHeight="1" x14ac:dyDescent="0.3">
      <c r="C29" s="45">
        <v>879.7</v>
      </c>
      <c r="D29" s="38">
        <f t="shared" si="0"/>
        <v>8.2579269795241533E-3</v>
      </c>
      <c r="E29" s="3"/>
    </row>
    <row r="30" spans="1:5" ht="15.75" customHeight="1" x14ac:dyDescent="0.3">
      <c r="C30" s="45">
        <v>894.03</v>
      </c>
      <c r="D30" s="38">
        <f t="shared" si="0"/>
        <v>2.4682089868709678E-2</v>
      </c>
      <c r="E30" s="3"/>
    </row>
    <row r="31" spans="1:5" ht="15.75" customHeight="1" x14ac:dyDescent="0.3">
      <c r="C31" s="45">
        <v>863.46</v>
      </c>
      <c r="D31" s="38">
        <f t="shared" si="0"/>
        <v>-1.0355360202637358E-2</v>
      </c>
      <c r="E31" s="3"/>
    </row>
    <row r="32" spans="1:5" ht="15.75" customHeight="1" x14ac:dyDescent="0.3">
      <c r="C32" s="45">
        <v>878.88</v>
      </c>
      <c r="D32" s="38">
        <f t="shared" si="0"/>
        <v>7.3180935134297348E-3</v>
      </c>
      <c r="E32" s="3"/>
    </row>
    <row r="33" spans="1:7" ht="15.75" customHeight="1" x14ac:dyDescent="0.3">
      <c r="C33" s="45">
        <v>886.06</v>
      </c>
      <c r="D33" s="38">
        <f t="shared" si="0"/>
        <v>1.554736703362177E-2</v>
      </c>
      <c r="E33" s="3"/>
    </row>
    <row r="34" spans="1:7" ht="15.75" customHeight="1" x14ac:dyDescent="0.3">
      <c r="C34" s="45">
        <v>869.12</v>
      </c>
      <c r="D34" s="38">
        <f t="shared" si="0"/>
        <v>-3.8682170098397277E-3</v>
      </c>
      <c r="E34" s="3"/>
    </row>
    <row r="35" spans="1:7" ht="15.75" customHeight="1" x14ac:dyDescent="0.3">
      <c r="C35" s="45">
        <v>869.07</v>
      </c>
      <c r="D35" s="38">
        <f t="shared" si="0"/>
        <v>-3.9255239285039658E-3</v>
      </c>
      <c r="E35" s="3"/>
    </row>
    <row r="36" spans="1:7" ht="15.75" customHeight="1" x14ac:dyDescent="0.3">
      <c r="C36" s="45">
        <v>876.28</v>
      </c>
      <c r="D36" s="38">
        <f t="shared" si="0"/>
        <v>4.3381337428866117E-3</v>
      </c>
      <c r="E36" s="3"/>
    </row>
    <row r="37" spans="1:7" ht="15.75" customHeight="1" x14ac:dyDescent="0.3">
      <c r="C37" s="45">
        <v>883.57</v>
      </c>
      <c r="D37" s="38">
        <f t="shared" si="0"/>
        <v>1.269348248414023E-2</v>
      </c>
      <c r="E37" s="3"/>
    </row>
    <row r="38" spans="1:7" ht="15.75" customHeight="1" x14ac:dyDescent="0.3">
      <c r="C38" s="45">
        <v>860.9</v>
      </c>
      <c r="D38" s="38">
        <f t="shared" si="0"/>
        <v>-1.3289474438249089E-2</v>
      </c>
      <c r="E38" s="3"/>
    </row>
    <row r="39" spans="1:7" ht="15.75" customHeight="1" x14ac:dyDescent="0.3">
      <c r="C39" s="45">
        <v>867.13</v>
      </c>
      <c r="D39" s="38">
        <f t="shared" si="0"/>
        <v>-6.1490323726784936E-3</v>
      </c>
      <c r="E39" s="3"/>
    </row>
    <row r="40" spans="1:7" ht="15.75" customHeight="1" x14ac:dyDescent="0.3">
      <c r="C40" s="45">
        <v>870.72</v>
      </c>
      <c r="D40" s="38">
        <f t="shared" si="0"/>
        <v>-2.0343956125824111E-3</v>
      </c>
      <c r="E40" s="3"/>
    </row>
    <row r="41" spans="1:7" ht="15.75" customHeight="1" x14ac:dyDescent="0.3">
      <c r="C41" s="45">
        <v>855.71</v>
      </c>
      <c r="D41" s="38">
        <f t="shared" si="0"/>
        <v>-1.9237932595602358E-2</v>
      </c>
      <c r="E41" s="3"/>
    </row>
    <row r="42" spans="1:7" ht="15.75" customHeight="1" x14ac:dyDescent="0.3">
      <c r="C42" s="45">
        <v>872.65</v>
      </c>
      <c r="D42" s="38">
        <f t="shared" si="0"/>
        <v>1.7765144785913844E-4</v>
      </c>
      <c r="E42" s="3"/>
    </row>
    <row r="43" spans="1:7" ht="16.5" customHeight="1" x14ac:dyDescent="0.3">
      <c r="C43" s="46">
        <v>872.36</v>
      </c>
      <c r="D43" s="39">
        <f t="shared" si="0"/>
        <v>-1.5472868039370378E-4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17449.900000000001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872.49500000000012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06">
        <f>C46</f>
        <v>872.49500000000012</v>
      </c>
      <c r="C49" s="43">
        <f>-IF(C46&lt;=80,10%,IF(C46&lt;250,7.5%,5%))</f>
        <v>-0.05</v>
      </c>
      <c r="D49" s="31">
        <f>IF(C46&lt;=80,C46*0.9,IF(C46&lt;250,C46*0.925,C46*0.95))</f>
        <v>828.87025000000006</v>
      </c>
    </row>
    <row r="50" spans="1:6" ht="17.25" customHeight="1" x14ac:dyDescent="0.3">
      <c r="B50" s="507"/>
      <c r="C50" s="44">
        <f>IF(C46&lt;=80, 10%, IF(C46&lt;250, 7.5%, 5%))</f>
        <v>0.05</v>
      </c>
      <c r="D50" s="31">
        <f>IF(C46&lt;=80, C46*1.1, IF(C46&lt;250, C46*1.075, C46*1.05))</f>
        <v>916.11975000000018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lam sst</vt:lpstr>
      <vt:lpstr>TDF SST</vt:lpstr>
      <vt:lpstr>Tenofovir Disoproxil Fumurate</vt:lpstr>
      <vt:lpstr>Lamivudine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2017-02-01T07:08:35Z</cp:lastPrinted>
  <dcterms:created xsi:type="dcterms:W3CDTF">2005-07-05T10:19:27Z</dcterms:created>
  <dcterms:modified xsi:type="dcterms:W3CDTF">2017-02-01T07:12:11Z</dcterms:modified>
</cp:coreProperties>
</file>