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5"/>
  </bookViews>
  <sheets>
    <sheet name="lam sst" sheetId="11" r:id="rId1"/>
    <sheet name="TDF SST" sheetId="12" r:id="rId2"/>
    <sheet name="Tenofovir Disoproxil Fumurate" sheetId="7" r:id="rId3"/>
    <sheet name="Lamivudine" sheetId="8" r:id="rId4"/>
    <sheet name="Uniformity" sheetId="2" r:id="rId5"/>
    <sheet name="EFAVIRENZ" sheetId="5" r:id="rId6"/>
    <sheet name="SST EFAVIRENZ" sheetId="10" r:id="rId7"/>
  </sheets>
  <definedNames>
    <definedName name="_xlnm.Print_Area" localSheetId="5">EFAVIRENZ!$A$1:$I$130</definedName>
    <definedName name="_xlnm.Print_Area" localSheetId="3">Lamivudine!$A$1:$I$130</definedName>
    <definedName name="_xlnm.Print_Area" localSheetId="2">'Tenofovir Disoproxil Fumurate'!$A$1:$I$133</definedName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3" i="12" l="1"/>
  <c r="E51" i="12"/>
  <c r="D51" i="12"/>
  <c r="C51" i="12"/>
  <c r="B51" i="12"/>
  <c r="B52" i="12" s="1"/>
  <c r="B42" i="12"/>
  <c r="B32" i="12"/>
  <c r="E30" i="12"/>
  <c r="D30" i="12"/>
  <c r="C30" i="12"/>
  <c r="B30" i="12"/>
  <c r="B31" i="12" s="1"/>
  <c r="B21" i="12"/>
  <c r="B53" i="1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B57" i="8" l="1"/>
  <c r="B57" i="7"/>
  <c r="B42" i="10"/>
  <c r="B53" i="10"/>
  <c r="E51" i="10"/>
  <c r="D51" i="10"/>
  <c r="C51" i="10"/>
  <c r="B51" i="10"/>
  <c r="B52" i="10" s="1"/>
  <c r="B32" i="10"/>
  <c r="E30" i="10"/>
  <c r="D30" i="10"/>
  <c r="C30" i="10"/>
  <c r="B30" i="10"/>
  <c r="B31" i="10" s="1"/>
  <c r="B21" i="10"/>
  <c r="C124" i="8"/>
  <c r="B116" i="8"/>
  <c r="D102" i="8"/>
  <c r="D101" i="8"/>
  <c r="D100" i="8"/>
  <c r="B98" i="8"/>
  <c r="F97" i="8"/>
  <c r="F98" i="8" s="1"/>
  <c r="D97" i="8"/>
  <c r="D98" i="8" s="1"/>
  <c r="F95" i="8"/>
  <c r="D95" i="8"/>
  <c r="G94" i="8"/>
  <c r="E94" i="8"/>
  <c r="B87" i="8"/>
  <c r="B83" i="8"/>
  <c r="B79" i="8"/>
  <c r="C76" i="8"/>
  <c r="H71" i="8"/>
  <c r="G71" i="8"/>
  <c r="B68" i="8"/>
  <c r="H67" i="8"/>
  <c r="G67" i="8"/>
  <c r="H63" i="8"/>
  <c r="G63" i="8"/>
  <c r="C56" i="8"/>
  <c r="B55" i="8"/>
  <c r="D49" i="8"/>
  <c r="D48" i="8"/>
  <c r="B45" i="8"/>
  <c r="F44" i="8"/>
  <c r="D44" i="8"/>
  <c r="F42" i="8"/>
  <c r="D42" i="8"/>
  <c r="I39" i="8" s="1"/>
  <c r="G41" i="8"/>
  <c r="E41" i="8"/>
  <c r="B34" i="8"/>
  <c r="B30" i="8"/>
  <c r="C124" i="7"/>
  <c r="B116" i="7"/>
  <c r="D101" i="7"/>
  <c r="E91" i="7" s="1"/>
  <c r="D100" i="7"/>
  <c r="B98" i="7"/>
  <c r="D97" i="7"/>
  <c r="D98" i="7" s="1"/>
  <c r="F95" i="7"/>
  <c r="D95" i="7"/>
  <c r="G94" i="7"/>
  <c r="E94" i="7"/>
  <c r="B87" i="7"/>
  <c r="F97" i="7" s="1"/>
  <c r="F98" i="7" s="1"/>
  <c r="B81" i="7"/>
  <c r="B83" i="7" s="1"/>
  <c r="B80" i="7"/>
  <c r="B79" i="7"/>
  <c r="C76" i="7"/>
  <c r="H71" i="7"/>
  <c r="G71" i="7"/>
  <c r="B68" i="7"/>
  <c r="H67" i="7"/>
  <c r="G67" i="7"/>
  <c r="H63" i="7"/>
  <c r="G63" i="7"/>
  <c r="C56" i="7"/>
  <c r="B55" i="7"/>
  <c r="D48" i="7"/>
  <c r="G40" i="7" s="1"/>
  <c r="B45" i="7"/>
  <c r="F42" i="7"/>
  <c r="D42" i="7"/>
  <c r="G41" i="7"/>
  <c r="E41" i="7"/>
  <c r="I39" i="7"/>
  <c r="B34" i="7"/>
  <c r="F44" i="7" s="1"/>
  <c r="F45" i="7" s="1"/>
  <c r="B30" i="7"/>
  <c r="C124" i="5"/>
  <c r="B116" i="5"/>
  <c r="D100" i="5" s="1"/>
  <c r="B98" i="5"/>
  <c r="F95" i="5"/>
  <c r="D95" i="5"/>
  <c r="B87" i="5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D50" i="2"/>
  <c r="C49" i="2"/>
  <c r="B49" i="2"/>
  <c r="C46" i="2"/>
  <c r="B57" i="5" s="1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I92" i="5" l="1"/>
  <c r="I92" i="7"/>
  <c r="I92" i="8"/>
  <c r="G39" i="8"/>
  <c r="D45" i="8"/>
  <c r="E39" i="8" s="1"/>
  <c r="F45" i="8"/>
  <c r="D101" i="5"/>
  <c r="D102" i="5" s="1"/>
  <c r="I39" i="5"/>
  <c r="D44" i="5"/>
  <c r="D45" i="5" s="1"/>
  <c r="D49" i="5"/>
  <c r="B69" i="8"/>
  <c r="B69" i="7"/>
  <c r="G91" i="7"/>
  <c r="F99" i="7"/>
  <c r="G93" i="8"/>
  <c r="G91" i="8"/>
  <c r="F99" i="8"/>
  <c r="E93" i="7"/>
  <c r="D99" i="7"/>
  <c r="D46" i="8"/>
  <c r="F46" i="7"/>
  <c r="G39" i="7"/>
  <c r="G40" i="8"/>
  <c r="G38" i="8"/>
  <c r="G42" i="8" s="1"/>
  <c r="F46" i="8"/>
  <c r="D99" i="8"/>
  <c r="E92" i="8"/>
  <c r="E93" i="8"/>
  <c r="E91" i="8"/>
  <c r="G92" i="8"/>
  <c r="G38" i="7"/>
  <c r="G42" i="7" s="1"/>
  <c r="D44" i="7"/>
  <c r="D45" i="7" s="1"/>
  <c r="D49" i="7"/>
  <c r="E92" i="7"/>
  <c r="G93" i="7"/>
  <c r="D102" i="7"/>
  <c r="G92" i="7"/>
  <c r="F45" i="5"/>
  <c r="B69" i="5"/>
  <c r="F97" i="5"/>
  <c r="F98" i="5" s="1"/>
  <c r="D97" i="5"/>
  <c r="D98" i="5" s="1"/>
  <c r="D99" i="5" s="1"/>
  <c r="C50" i="2"/>
  <c r="D24" i="2"/>
  <c r="D28" i="2"/>
  <c r="D32" i="2"/>
  <c r="D36" i="2"/>
  <c r="D40" i="2"/>
  <c r="D49" i="2"/>
  <c r="G93" i="5" l="1"/>
  <c r="G94" i="5"/>
  <c r="E92" i="5"/>
  <c r="D103" i="7"/>
  <c r="E109" i="7" s="1"/>
  <c r="F109" i="7" s="1"/>
  <c r="D105" i="7"/>
  <c r="G95" i="8"/>
  <c r="E40" i="8"/>
  <c r="E38" i="8"/>
  <c r="E42" i="8" s="1"/>
  <c r="D46" i="5"/>
  <c r="E40" i="5"/>
  <c r="E39" i="5"/>
  <c r="E41" i="5"/>
  <c r="E38" i="5"/>
  <c r="G91" i="5"/>
  <c r="E38" i="7"/>
  <c r="D46" i="7"/>
  <c r="E95" i="8"/>
  <c r="D105" i="8"/>
  <c r="D103" i="8"/>
  <c r="E40" i="7"/>
  <c r="D50" i="8"/>
  <c r="E95" i="7"/>
  <c r="G95" i="7"/>
  <c r="E39" i="7"/>
  <c r="F46" i="5"/>
  <c r="G38" i="5"/>
  <c r="G41" i="5"/>
  <c r="G40" i="5"/>
  <c r="G39" i="5"/>
  <c r="F99" i="5"/>
  <c r="G92" i="5"/>
  <c r="E94" i="5"/>
  <c r="E93" i="5"/>
  <c r="E91" i="5"/>
  <c r="E110" i="7" l="1"/>
  <c r="F110" i="7" s="1"/>
  <c r="D104" i="7"/>
  <c r="E111" i="7"/>
  <c r="F111" i="7" s="1"/>
  <c r="E112" i="7"/>
  <c r="F112" i="7" s="1"/>
  <c r="E113" i="7"/>
  <c r="F113" i="7" s="1"/>
  <c r="E108" i="7"/>
  <c r="F108" i="7" s="1"/>
  <c r="D52" i="8"/>
  <c r="E42" i="5"/>
  <c r="D50" i="5"/>
  <c r="G69" i="5" s="1"/>
  <c r="H69" i="5" s="1"/>
  <c r="G42" i="5"/>
  <c r="D52" i="5"/>
  <c r="G95" i="5"/>
  <c r="G68" i="8"/>
  <c r="H68" i="8" s="1"/>
  <c r="G69" i="8"/>
  <c r="H69" i="8" s="1"/>
  <c r="G66" i="8"/>
  <c r="H66" i="8" s="1"/>
  <c r="G64" i="8"/>
  <c r="H64" i="8" s="1"/>
  <c r="G62" i="8"/>
  <c r="H62" i="8" s="1"/>
  <c r="G60" i="8"/>
  <c r="G70" i="8"/>
  <c r="H70" i="8" s="1"/>
  <c r="G65" i="8"/>
  <c r="H65" i="8" s="1"/>
  <c r="G61" i="8"/>
  <c r="H61" i="8" s="1"/>
  <c r="D51" i="8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D52" i="7"/>
  <c r="D50" i="7"/>
  <c r="E42" i="7"/>
  <c r="E95" i="5"/>
  <c r="D105" i="5"/>
  <c r="D103" i="5"/>
  <c r="D51" i="5"/>
  <c r="G71" i="5"/>
  <c r="H71" i="5" s="1"/>
  <c r="E119" i="7" l="1"/>
  <c r="E117" i="7"/>
  <c r="E120" i="7"/>
  <c r="E115" i="7"/>
  <c r="E116" i="7" s="1"/>
  <c r="G63" i="5"/>
  <c r="H63" i="5" s="1"/>
  <c r="G70" i="5"/>
  <c r="H70" i="5" s="1"/>
  <c r="G64" i="5"/>
  <c r="H64" i="5" s="1"/>
  <c r="G65" i="5"/>
  <c r="H65" i="5" s="1"/>
  <c r="G66" i="5"/>
  <c r="H66" i="5" s="1"/>
  <c r="G67" i="5"/>
  <c r="H67" i="5" s="1"/>
  <c r="G62" i="5"/>
  <c r="H62" i="5" s="1"/>
  <c r="G68" i="5"/>
  <c r="H68" i="5" s="1"/>
  <c r="G61" i="5"/>
  <c r="H61" i="5" s="1"/>
  <c r="G60" i="5"/>
  <c r="H60" i="5" s="1"/>
  <c r="G69" i="7"/>
  <c r="H69" i="7" s="1"/>
  <c r="G66" i="7"/>
  <c r="H66" i="7" s="1"/>
  <c r="G64" i="7"/>
  <c r="H64" i="7" s="1"/>
  <c r="G62" i="7"/>
  <c r="H62" i="7" s="1"/>
  <c r="G60" i="7"/>
  <c r="D51" i="7"/>
  <c r="G70" i="7"/>
  <c r="H70" i="7" s="1"/>
  <c r="G65" i="7"/>
  <c r="H65" i="7" s="1"/>
  <c r="G61" i="7"/>
  <c r="H61" i="7" s="1"/>
  <c r="G68" i="7"/>
  <c r="H68" i="7" s="1"/>
  <c r="F125" i="7"/>
  <c r="F120" i="7"/>
  <c r="F117" i="7"/>
  <c r="D125" i="7"/>
  <c r="F115" i="7"/>
  <c r="F119" i="7"/>
  <c r="H60" i="8"/>
  <c r="G74" i="8"/>
  <c r="G72" i="8"/>
  <c r="G73" i="8" s="1"/>
  <c r="E115" i="8"/>
  <c r="E116" i="8" s="1"/>
  <c r="E119" i="8"/>
  <c r="E120" i="8"/>
  <c r="E117" i="8"/>
  <c r="F108" i="8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G72" i="5" l="1"/>
  <c r="G73" i="5" s="1"/>
  <c r="G74" i="5"/>
  <c r="G124" i="7"/>
  <c r="F116" i="7"/>
  <c r="F119" i="8"/>
  <c r="F125" i="8"/>
  <c r="F120" i="8"/>
  <c r="F117" i="8"/>
  <c r="D125" i="8"/>
  <c r="F115" i="8"/>
  <c r="H74" i="8"/>
  <c r="H72" i="8"/>
  <c r="G74" i="7"/>
  <c r="G72" i="7"/>
  <c r="G73" i="7" s="1"/>
  <c r="H60" i="7"/>
  <c r="E115" i="5"/>
  <c r="E116" i="5" s="1"/>
  <c r="E119" i="5"/>
  <c r="E120" i="5"/>
  <c r="E117" i="5"/>
  <c r="F108" i="5"/>
  <c r="H74" i="5"/>
  <c r="H72" i="5"/>
  <c r="G124" i="8" l="1"/>
  <c r="F116" i="8"/>
  <c r="G76" i="8"/>
  <c r="H73" i="8"/>
  <c r="H74" i="7"/>
  <c r="H72" i="7"/>
  <c r="F125" i="5"/>
  <c r="F120" i="5"/>
  <c r="F117" i="5"/>
  <c r="D125" i="5"/>
  <c r="F119" i="5"/>
  <c r="F115" i="5"/>
  <c r="G76" i="5"/>
  <c r="H73" i="5"/>
  <c r="G76" i="7" l="1"/>
  <c r="H73" i="7"/>
  <c r="G124" i="5"/>
  <c r="F116" i="5"/>
</calcChain>
</file>

<file path=xl/sharedStrings.xml><?xml version="1.0" encoding="utf-8"?>
<sst xmlns="http://schemas.openxmlformats.org/spreadsheetml/2006/main" count="669" uniqueCount="144">
  <si>
    <t>HPLC System Suitability Report</t>
  </si>
  <si>
    <t>Analysis Data</t>
  </si>
  <si>
    <t>Assay</t>
  </si>
  <si>
    <t>Sample(s)</t>
  </si>
  <si>
    <t>Reference Substance:</t>
  </si>
  <si>
    <t xml:space="preserve">TENOFOVIR DISOPROXIL FUMARATE/ LAMIVUDINE/ EFAVIRENZ TABLETS 300 MG/ 300 MG/ 600 MG
</t>
  </si>
  <si>
    <t>% age Purity:</t>
  </si>
  <si>
    <t>NDQB201701315</t>
  </si>
  <si>
    <t>Weight (mg):</t>
  </si>
  <si>
    <t xml:space="preserve">Tenofovir Disoproxil Fumarate 300mg, Lamivudine 300mg &amp; Efavirenz 600mg </t>
  </si>
  <si>
    <t>Standard Conc (mg/mL):</t>
  </si>
  <si>
    <t xml:space="preserve">Each film coated tablet contains: Tenofovir disoproxil fumarate 300 mg, Lamivudine USP 300 mg, Efavirenz USP 600 mg. </t>
  </si>
  <si>
    <t>2017-01-11 08:34:36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</si>
  <si>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</si>
  <si>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</si>
  <si>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</si>
  <si>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</si>
  <si>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</si>
  <si>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</si>
  <si>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</si>
  <si>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</si>
  <si>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</si>
  <si>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</si>
  <si>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</si>
  <si>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</si>
  <si>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</si>
  <si>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</si>
  <si>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</si>
  <si>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</si>
  <si>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</si>
  <si>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</si>
  <si>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</si>
  <si>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</si>
  <si>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</si>
  <si>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</si>
  <si>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</si>
  <si>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</si>
  <si>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</si>
  <si>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</si>
  <si>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</si>
  <si>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</si>
  <si>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</si>
  <si>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</si>
  <si>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</si>
  <si>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</si>
  <si>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</si>
  <si>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</si>
  <si>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</si>
  <si>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</si>
  <si>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</si>
  <si>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</si>
  <si>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</si>
  <si>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</si>
  <si>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</si>
  <si>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</si>
  <si>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</si>
  <si>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</si>
  <si>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</si>
  <si>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</si>
  <si>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</si>
  <si>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</si>
  <si>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</si>
  <si>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</si>
  <si>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</si>
  <si>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</si>
  <si>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</si>
  <si>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</si>
  <si>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</si>
  <si>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</si>
  <si>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</si>
  <si>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</si>
  <si>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</si>
  <si>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</si>
  <si>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</si>
  <si>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</si>
  <si>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</si>
  <si>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</si>
  <si>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</si>
  <si>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</si>
  <si>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</si>
  <si>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</si>
  <si>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</si>
  <si>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</si>
  <si>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</si>
  <si>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</si>
  <si>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</si>
  <si>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</si>
  <si>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</si>
  <si>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</si>
  <si>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</si>
  <si>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</si>
  <si>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</si>
  <si>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</si>
  <si>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</si>
  <si>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</si>
  <si>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</si>
  <si>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</si>
  <si>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</si>
  <si>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</si>
  <si>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</si>
  <si>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</si>
  <si>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</si>
  <si>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</si>
  <si>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</si>
  <si>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</si>
  <si>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</si>
  <si>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</si>
  <si>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</si>
  <si>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</si>
  <si>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</si>
  <si>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</si>
  <si>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</si>
  <si>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</si>
  <si>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</si>
  <si>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</si>
  <si>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</si>
  <si>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</si>
  <si>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</si>
  <si>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</si>
  <si>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</si>
  <si>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</si>
  <si>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</si>
  <si>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</si>
  <si>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</si>
  <si>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</si>
  <si>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</si>
  <si>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</si>
  <si>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</si>
  <si>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</si>
  <si>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</si>
  <si>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</si>
  <si>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 300 MG AND TENOFOVIR DISOPROXIL FUMARATE 300 MG TABLETS</t>
  </si>
  <si>
    <t>TDF</t>
  </si>
  <si>
    <t>2017-01-11 07:53:13</t>
  </si>
  <si>
    <t>Lamivudine</t>
  </si>
  <si>
    <t>NDQB201701314</t>
  </si>
  <si>
    <t>Lamivudine and Tenofovir Disoproxil Fumarate</t>
  </si>
  <si>
    <t>Each film coated tablet contains: Tenofovir Disoproxil Fumarate 300 mg equivalent to Tenofovir Disoproxil 245 mg and Lamivudine USP 300 mg.</t>
  </si>
  <si>
    <t>Tenofovir Disoproxil Fumurate</t>
  </si>
  <si>
    <t>T11-8</t>
  </si>
  <si>
    <t>NDQB201701313</t>
  </si>
  <si>
    <t>EFAVIRENZ</t>
  </si>
  <si>
    <t>E4-4</t>
  </si>
  <si>
    <t>L42-1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</si>
</sst>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</cellStyleXfs>
  <cellXfs count="8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5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25" fillId="2" borderId="0" xfId="2" applyFill="1"/>
    <xf numFmtId="0" fontId="11" fillId="2" borderId="0" xfId="2" applyFont="1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25" fillId="2" borderId="0" xfId="3" applyFill="1"/>
    <xf numFmtId="0" fontId="11" fillId="2" borderId="0" xfId="3" applyFont="1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73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73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43" xfId="3" applyNumberFormat="1" applyFont="1" applyFill="1" applyBorder="1" applyAlignment="1">
      <alignment horizontal="center"/>
    </xf>
    <xf numFmtId="173" fontId="11" fillId="2" borderId="15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73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4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1" fontId="13" fillId="3" borderId="13" xfId="3" applyNumberFormat="1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73" fontId="11" fillId="2" borderId="22" xfId="3" applyNumberFormat="1" applyFont="1" applyFill="1" applyBorder="1" applyAlignment="1">
      <alignment horizontal="center"/>
    </xf>
    <xf numFmtId="1" fontId="13" fillId="3" borderId="14" xfId="3" applyNumberFormat="1" applyFont="1" applyFill="1" applyBorder="1" applyAlignment="1" applyProtection="1">
      <alignment horizontal="center"/>
      <protection locked="0"/>
    </xf>
    <xf numFmtId="166" fontId="11" fillId="2" borderId="14" xfId="3" applyNumberFormat="1" applyFont="1" applyFill="1" applyBorder="1" applyAlignment="1">
      <alignment horizontal="center"/>
    </xf>
    <xf numFmtId="173" fontId="11" fillId="2" borderId="24" xfId="3" applyNumberFormat="1" applyFont="1" applyFill="1" applyBorder="1" applyAlignment="1">
      <alignment horizontal="center"/>
    </xf>
    <xf numFmtId="1" fontId="13" fillId="3" borderId="15" xfId="3" applyNumberFormat="1" applyFont="1" applyFill="1" applyBorder="1" applyAlignment="1" applyProtection="1">
      <alignment horizontal="center"/>
      <protection locked="0"/>
    </xf>
    <xf numFmtId="166" fontId="11" fillId="2" borderId="15" xfId="3" applyNumberFormat="1" applyFont="1" applyFill="1" applyBorder="1" applyAlignment="1">
      <alignment horizontal="center"/>
    </xf>
    <xf numFmtId="173" fontId="11" fillId="2" borderId="44" xfId="3" applyNumberFormat="1" applyFont="1" applyFill="1" applyBorder="1" applyAlignment="1">
      <alignment horizontal="center"/>
    </xf>
    <xf numFmtId="0" fontId="11" fillId="2" borderId="23" xfId="3" applyFont="1" applyFill="1" applyBorder="1" applyAlignment="1">
      <alignment horizontal="center"/>
    </xf>
    <xf numFmtId="171" fontId="11" fillId="2" borderId="16" xfId="3" applyNumberFormat="1" applyFont="1" applyFill="1" applyBorder="1" applyAlignment="1">
      <alignment horizontal="right"/>
    </xf>
    <xf numFmtId="2" fontId="13" fillId="7" borderId="55" xfId="3" applyNumberFormat="1" applyFont="1" applyFill="1" applyBorder="1" applyAlignment="1">
      <alignment horizontal="center"/>
    </xf>
    <xf numFmtId="174" fontId="13" fillId="7" borderId="52" xfId="3" applyNumberFormat="1" applyFont="1" applyFill="1" applyBorder="1" applyAlignment="1">
      <alignment horizontal="center"/>
    </xf>
    <xf numFmtId="0" fontId="11" fillId="2" borderId="23" xfId="3" applyFont="1" applyFill="1" applyBorder="1"/>
    <xf numFmtId="0" fontId="11" fillId="2" borderId="14" xfId="3" applyFont="1" applyFill="1" applyBorder="1" applyAlignment="1">
      <alignment horizontal="right"/>
    </xf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3" fillId="7" borderId="28" xfId="3" applyFont="1" applyFill="1" applyBorder="1" applyAlignment="1">
      <alignment horizontal="center"/>
    </xf>
    <xf numFmtId="0" fontId="13" fillId="7" borderId="56" xfId="3" applyFont="1" applyFill="1" applyBorder="1" applyAlignment="1">
      <alignment horizontal="center"/>
    </xf>
    <xf numFmtId="0" fontId="11" fillId="2" borderId="13" xfId="3" applyFont="1" applyFill="1" applyBorder="1"/>
    <xf numFmtId="0" fontId="19" fillId="2" borderId="0" xfId="3" applyFont="1" applyFill="1" applyAlignment="1">
      <alignment horizontal="right" vertical="center" wrapText="1"/>
    </xf>
    <xf numFmtId="2" fontId="13" fillId="6" borderId="54" xfId="3" applyNumberFormat="1" applyFont="1" applyFill="1" applyBorder="1" applyAlignment="1">
      <alignment horizontal="center"/>
    </xf>
    <xf numFmtId="174" fontId="13" fillId="6" borderId="54" xfId="3" applyNumberFormat="1" applyFont="1" applyFill="1" applyBorder="1" applyAlignment="1">
      <alignment horizontal="center"/>
    </xf>
    <xf numFmtId="2" fontId="13" fillId="7" borderId="46" xfId="3" applyNumberFormat="1" applyFont="1" applyFill="1" applyBorder="1" applyAlignment="1">
      <alignment horizontal="center"/>
    </xf>
    <xf numFmtId="174" fontId="13" fillId="7" borderId="46" xfId="3" applyNumberFormat="1" applyFont="1" applyFill="1" applyBorder="1" applyAlignment="1">
      <alignment horizontal="center"/>
    </xf>
    <xf numFmtId="175" fontId="23" fillId="2" borderId="0" xfId="3" applyNumberFormat="1" applyFont="1" applyFill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25" fillId="2" borderId="0" xfId="4" applyFill="1"/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6" fillId="2" borderId="3" xfId="4" applyFont="1" applyFill="1" applyBorder="1" applyAlignment="1">
      <alignment horizontal="center"/>
    </xf>
    <xf numFmtId="0" fontId="7" fillId="3" borderId="3" xfId="4" applyFont="1" applyFill="1" applyBorder="1" applyAlignment="1" applyProtection="1">
      <alignment horizontal="center"/>
      <protection locked="0"/>
    </xf>
    <xf numFmtId="2" fontId="7" fillId="3" borderId="3" xfId="4" applyNumberFormat="1" applyFont="1" applyFill="1" applyBorder="1" applyAlignment="1" applyProtection="1">
      <alignment horizontal="center"/>
      <protection locked="0"/>
    </xf>
    <xf numFmtId="2" fontId="7" fillId="3" borderId="4" xfId="4" applyNumberFormat="1" applyFont="1" applyFill="1" applyBorder="1" applyAlignment="1" applyProtection="1">
      <alignment horizontal="center"/>
      <protection locked="0"/>
    </xf>
    <xf numFmtId="0" fontId="7" fillId="3" borderId="5" xfId="4" applyFont="1" applyFill="1" applyBorder="1" applyAlignment="1" applyProtection="1">
      <alignment horizontal="center"/>
      <protection locked="0"/>
    </xf>
    <xf numFmtId="2" fontId="7" fillId="3" borderId="5" xfId="4" applyNumberFormat="1" applyFont="1" applyFill="1" applyBorder="1" applyAlignment="1" applyProtection="1">
      <alignment horizontal="center"/>
      <protection locked="0"/>
    </xf>
    <xf numFmtId="0" fontId="6" fillId="2" borderId="4" xfId="4" applyFont="1" applyFill="1" applyBorder="1"/>
    <xf numFmtId="1" fontId="5" fillId="4" borderId="2" xfId="4" applyNumberFormat="1" applyFont="1" applyFill="1" applyBorder="1" applyAlignment="1">
      <alignment horizontal="center"/>
    </xf>
    <xf numFmtId="1" fontId="5" fillId="4" borderId="1" xfId="4" applyNumberFormat="1" applyFont="1" applyFill="1" applyBorder="1" applyAlignment="1">
      <alignment horizontal="center"/>
    </xf>
    <xf numFmtId="2" fontId="5" fillId="4" borderId="1" xfId="4" applyNumberFormat="1" applyFont="1" applyFill="1" applyBorder="1" applyAlignment="1">
      <alignment horizontal="center"/>
    </xf>
    <xf numFmtId="0" fontId="6" fillId="2" borderId="3" xfId="4" applyFont="1" applyFill="1" applyBorder="1"/>
    <xf numFmtId="10" fontId="5" fillId="5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6" xfId="4" applyFont="1" applyFill="1" applyBorder="1"/>
    <xf numFmtId="0" fontId="6" fillId="2" borderId="5" xfId="4" applyFont="1" applyFill="1" applyBorder="1"/>
    <xf numFmtId="0" fontId="5" fillId="4" borderId="1" xfId="4" applyFont="1" applyFill="1" applyBorder="1" applyAlignment="1">
      <alignment horizontal="center"/>
    </xf>
    <xf numFmtId="0" fontId="5" fillId="2" borderId="7" xfId="4" applyFont="1" applyFill="1" applyBorder="1" applyAlignment="1">
      <alignment horizontal="center"/>
    </xf>
    <xf numFmtId="0" fontId="6" fillId="2" borderId="7" xfId="4" applyFont="1" applyFill="1" applyBorder="1"/>
    <xf numFmtId="0" fontId="6" fillId="2" borderId="8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2" fillId="2" borderId="9" xfId="4" applyFont="1" applyFill="1" applyBorder="1"/>
    <xf numFmtId="0" fontId="2" fillId="2" borderId="0" xfId="4" applyFont="1" applyFill="1" applyAlignment="1">
      <alignment horizontal="center"/>
    </xf>
    <xf numFmtId="10" fontId="2" fillId="2" borderId="9" xfId="4" applyNumberFormat="1" applyFont="1" applyFill="1" applyBorder="1"/>
    <xf numFmtId="0" fontId="2" fillId="2" borderId="10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7" xfId="4" applyFont="1" applyFill="1" applyBorder="1"/>
    <xf numFmtId="0" fontId="1" fillId="2" borderId="11" xfId="4" applyFont="1" applyFill="1" applyBorder="1"/>
    <xf numFmtId="0" fontId="2" fillId="2" borderId="11" xfId="4" applyFont="1" applyFill="1" applyBorder="1"/>
    <xf numFmtId="0" fontId="1" fillId="2" borderId="10" xfId="4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2" fillId="2" borderId="0" xfId="3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2" fontId="13" fillId="3" borderId="13" xfId="3" applyNumberFormat="1" applyFont="1" applyFill="1" applyBorder="1" applyAlignment="1" applyProtection="1">
      <alignment horizontal="center" vertical="center"/>
      <protection locked="0"/>
    </xf>
    <xf numFmtId="2" fontId="13" fillId="3" borderId="14" xfId="3" applyNumberFormat="1" applyFont="1" applyFill="1" applyBorder="1" applyAlignment="1" applyProtection="1">
      <alignment horizontal="center" vertical="center"/>
      <protection locked="0"/>
    </xf>
    <xf numFmtId="2" fontId="13" fillId="3" borderId="15" xfId="3" applyNumberFormat="1" applyFont="1" applyFill="1" applyBorder="1" applyAlignment="1" applyProtection="1">
      <alignment horizontal="center" vertical="center"/>
      <protection locked="0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0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 vertical="center"/>
    </xf>
    <xf numFmtId="0" fontId="12" fillId="2" borderId="55" xfId="3" applyFont="1" applyFill="1" applyBorder="1" applyAlignment="1">
      <alignment horizontal="center" vertical="center"/>
    </xf>
    <xf numFmtId="0" fontId="3" fillId="2" borderId="0" xfId="4" applyFont="1" applyFill="1" applyAlignment="1">
      <alignment horizontal="center"/>
    </xf>
    <xf numFmtId="0" fontId="1" fillId="2" borderId="10" xfId="4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5" applyFont="1" applyFill="1"/>
    <xf numFmtId="0" fontId="2" fillId="2" borderId="0" xfId="5" applyFont="1" applyFill="1"/>
    <xf numFmtId="0" fontId="2" fillId="2" borderId="0" xfId="5" applyFont="1" applyFill="1" applyAlignment="1">
      <alignment horizontal="right"/>
    </xf>
    <xf numFmtId="0" fontId="3" fillId="2" borderId="0" xfId="5" applyFont="1" applyFill="1" applyAlignment="1">
      <alignment horizontal="center"/>
    </xf>
    <xf numFmtId="0" fontId="4" fillId="2" borderId="0" xfId="5" applyFont="1" applyFill="1"/>
    <xf numFmtId="0" fontId="4" fillId="2" borderId="0" xfId="5" applyFont="1" applyFill="1" applyAlignment="1">
      <alignment horizontal="left"/>
    </xf>
    <xf numFmtId="0" fontId="5" fillId="2" borderId="0" xfId="5" applyFont="1" applyFill="1" applyAlignment="1">
      <alignment horizontal="left"/>
    </xf>
    <xf numFmtId="0" fontId="5" fillId="2" borderId="0" xfId="5" applyFont="1" applyFill="1" applyAlignment="1">
      <alignment horizontal="center"/>
    </xf>
    <xf numFmtId="0" fontId="6" fillId="2" borderId="0" xfId="5" applyFont="1" applyFill="1"/>
    <xf numFmtId="0" fontId="5" fillId="2" borderId="0" xfId="5" applyFont="1" applyFill="1"/>
    <xf numFmtId="2" fontId="5" fillId="2" borderId="0" xfId="5" applyNumberFormat="1" applyFont="1" applyFill="1" applyAlignment="1">
      <alignment horizontal="center"/>
    </xf>
    <xf numFmtId="164" fontId="5" fillId="2" borderId="0" xfId="5" applyNumberFormat="1" applyFont="1" applyFill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5" fillId="2" borderId="2" xfId="5" applyFont="1" applyFill="1" applyBorder="1" applyAlignment="1">
      <alignment horizontal="center"/>
    </xf>
    <xf numFmtId="0" fontId="6" fillId="2" borderId="3" xfId="5" applyFont="1" applyFill="1" applyBorder="1" applyAlignment="1">
      <alignment horizontal="center"/>
    </xf>
    <xf numFmtId="0" fontId="7" fillId="3" borderId="3" xfId="5" applyFont="1" applyFill="1" applyBorder="1" applyAlignment="1" applyProtection="1">
      <alignment horizontal="center"/>
      <protection locked="0"/>
    </xf>
    <xf numFmtId="2" fontId="7" fillId="3" borderId="3" xfId="5" applyNumberFormat="1" applyFont="1" applyFill="1" applyBorder="1" applyAlignment="1" applyProtection="1">
      <alignment horizontal="center"/>
      <protection locked="0"/>
    </xf>
    <xf numFmtId="2" fontId="7" fillId="3" borderId="4" xfId="5" applyNumberFormat="1" applyFont="1" applyFill="1" applyBorder="1" applyAlignment="1" applyProtection="1">
      <alignment horizontal="center"/>
      <protection locked="0"/>
    </xf>
    <xf numFmtId="0" fontId="7" fillId="3" borderId="5" xfId="5" applyFont="1" applyFill="1" applyBorder="1" applyAlignment="1" applyProtection="1">
      <alignment horizontal="center"/>
      <protection locked="0"/>
    </xf>
    <xf numFmtId="2" fontId="7" fillId="3" borderId="5" xfId="5" applyNumberFormat="1" applyFont="1" applyFill="1" applyBorder="1" applyAlignment="1" applyProtection="1">
      <alignment horizontal="center"/>
      <protection locked="0"/>
    </xf>
    <xf numFmtId="0" fontId="6" fillId="2" borderId="4" xfId="5" applyFont="1" applyFill="1" applyBorder="1"/>
    <xf numFmtId="1" fontId="5" fillId="4" borderId="2" xfId="5" applyNumberFormat="1" applyFont="1" applyFill="1" applyBorder="1" applyAlignment="1">
      <alignment horizontal="center"/>
    </xf>
    <xf numFmtId="1" fontId="5" fillId="4" borderId="1" xfId="5" applyNumberFormat="1" applyFont="1" applyFill="1" applyBorder="1" applyAlignment="1">
      <alignment horizontal="center"/>
    </xf>
    <xf numFmtId="2" fontId="5" fillId="4" borderId="1" xfId="5" applyNumberFormat="1" applyFont="1" applyFill="1" applyBorder="1" applyAlignment="1">
      <alignment horizontal="center"/>
    </xf>
    <xf numFmtId="0" fontId="6" fillId="2" borderId="3" xfId="5" applyFont="1" applyFill="1" applyBorder="1"/>
    <xf numFmtId="10" fontId="5" fillId="5" borderId="1" xfId="5" applyNumberFormat="1" applyFont="1" applyFill="1" applyBorder="1" applyAlignment="1">
      <alignment horizontal="center"/>
    </xf>
    <xf numFmtId="165" fontId="5" fillId="2" borderId="0" xfId="5" applyNumberFormat="1" applyFont="1" applyFill="1" applyAlignment="1">
      <alignment horizontal="center"/>
    </xf>
    <xf numFmtId="0" fontId="6" fillId="2" borderId="6" xfId="5" applyFont="1" applyFill="1" applyBorder="1"/>
    <xf numFmtId="0" fontId="6" fillId="2" borderId="5" xfId="5" applyFont="1" applyFill="1" applyBorder="1"/>
    <xf numFmtId="0" fontId="5" fillId="4" borderId="1" xfId="5" applyFont="1" applyFill="1" applyBorder="1" applyAlignment="1">
      <alignment horizontal="center"/>
    </xf>
    <xf numFmtId="0" fontId="5" fillId="2" borderId="7" xfId="5" applyFont="1" applyFill="1" applyBorder="1" applyAlignment="1">
      <alignment horizontal="center"/>
    </xf>
    <xf numFmtId="0" fontId="6" fillId="2" borderId="7" xfId="5" applyFont="1" applyFill="1" applyBorder="1"/>
    <xf numFmtId="0" fontId="6" fillId="2" borderId="8" xfId="5" applyFont="1" applyFill="1" applyBorder="1"/>
    <xf numFmtId="0" fontId="6" fillId="2" borderId="0" xfId="5" applyFont="1" applyFill="1" applyAlignment="1" applyProtection="1">
      <alignment horizontal="left"/>
      <protection locked="0"/>
    </xf>
    <xf numFmtId="0" fontId="6" fillId="2" borderId="0" xfId="5" applyFont="1" applyFill="1" applyProtection="1">
      <protection locked="0"/>
    </xf>
    <xf numFmtId="0" fontId="2" fillId="2" borderId="9" xfId="5" applyFont="1" applyFill="1" applyBorder="1"/>
    <xf numFmtId="0" fontId="2" fillId="2" borderId="0" xfId="5" applyFont="1" applyFill="1" applyAlignment="1">
      <alignment horizontal="center"/>
    </xf>
    <xf numFmtId="10" fontId="2" fillId="2" borderId="9" xfId="5" applyNumberFormat="1" applyFont="1" applyFill="1" applyBorder="1"/>
    <xf numFmtId="0" fontId="25" fillId="2" borderId="0" xfId="5" applyFill="1"/>
    <xf numFmtId="0" fontId="1" fillId="2" borderId="10" xfId="5" applyFont="1" applyFill="1" applyBorder="1" applyAlignment="1">
      <alignment horizontal="center"/>
    </xf>
    <xf numFmtId="0" fontId="1" fillId="2" borderId="10" xfId="5" applyFont="1" applyFill="1" applyBorder="1" applyAlignment="1">
      <alignment horizontal="center"/>
    </xf>
    <xf numFmtId="0" fontId="2" fillId="2" borderId="10" xfId="5" applyFont="1" applyFill="1" applyBorder="1" applyAlignment="1">
      <alignment horizontal="center"/>
    </xf>
    <xf numFmtId="0" fontId="1" fillId="2" borderId="0" xfId="5" applyFont="1" applyFill="1" applyAlignment="1">
      <alignment horizontal="right"/>
    </xf>
    <xf numFmtId="0" fontId="2" fillId="2" borderId="7" xfId="5" applyFont="1" applyFill="1" applyBorder="1"/>
    <xf numFmtId="0" fontId="1" fillId="2" borderId="11" xfId="5" applyFont="1" applyFill="1" applyBorder="1"/>
    <xf numFmtId="0" fontId="2" fillId="2" borderId="11" xfId="5" applyFont="1" applyFill="1" applyBorder="1"/>
  </cellXfs>
  <cellStyles count="6">
    <cellStyle name="Normal" xfId="0" builtinId="0"/>
    <cellStyle name="Normal 2" xfId="4"/>
    <cellStyle name="Normal 3" xfId="3"/>
    <cellStyle name="Normal 4" xfId="2"/>
    <cellStyle name="Normal 5" xfId="1"/>
    <cellStyle name="Normal 6" xfId="5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56" sqref="B56"/>
    </sheetView>
  </sheetViews>
  <sheetFormatPr defaultRowHeight="13.5" x14ac:dyDescent="0.25"/>
  <cols>
    <col min="1" max="1" width="27.5703125" style="612" customWidth="1"/>
    <col min="2" max="2" width="20.42578125" style="612" customWidth="1"/>
    <col min="3" max="3" width="31.85546875" style="612" customWidth="1"/>
    <col min="4" max="4" width="25.85546875" style="612" customWidth="1"/>
    <col min="5" max="5" width="25.7109375" style="612" customWidth="1"/>
    <col min="6" max="6" width="23.140625" style="612" customWidth="1"/>
    <col min="7" max="7" width="28.42578125" style="612" customWidth="1"/>
    <col min="8" max="8" width="21.5703125" style="612" customWidth="1"/>
    <col min="9" max="9" width="9.140625" style="612" customWidth="1"/>
    <col min="10" max="16384" width="9.140625" style="614"/>
  </cols>
  <sheetData>
    <row r="14" spans="1:6" ht="15" customHeight="1" x14ac:dyDescent="0.3">
      <c r="A14" s="611"/>
      <c r="C14" s="613"/>
      <c r="F14" s="613"/>
    </row>
    <row r="15" spans="1:6" ht="18.75" customHeight="1" x14ac:dyDescent="0.3">
      <c r="A15" s="739" t="s">
        <v>0</v>
      </c>
      <c r="B15" s="739"/>
      <c r="C15" s="739"/>
      <c r="D15" s="739"/>
      <c r="E15" s="739"/>
    </row>
    <row r="16" spans="1:6" ht="16.5" customHeight="1" x14ac:dyDescent="0.3">
      <c r="A16" s="615" t="s">
        <v>1</v>
      </c>
      <c r="B16" s="616" t="s">
        <v>2</v>
      </c>
    </row>
    <row r="17" spans="1:5" ht="16.5" customHeight="1" x14ac:dyDescent="0.3">
      <c r="A17" s="617" t="s">
        <v>3</v>
      </c>
      <c r="B17" s="617" t="s">
        <v>131</v>
      </c>
      <c r="D17" s="618"/>
      <c r="E17" s="619"/>
    </row>
    <row r="18" spans="1:5" ht="16.5" customHeight="1" x14ac:dyDescent="0.3">
      <c r="A18" s="620" t="s">
        <v>4</v>
      </c>
      <c r="B18" s="612" t="s">
        <v>134</v>
      </c>
      <c r="C18" s="619"/>
      <c r="D18" s="619"/>
      <c r="E18" s="619"/>
    </row>
    <row r="19" spans="1:5" ht="16.5" customHeight="1" x14ac:dyDescent="0.3">
      <c r="A19" s="620" t="s">
        <v>6</v>
      </c>
      <c r="B19" s="621">
        <v>99.8</v>
      </c>
      <c r="C19" s="619"/>
      <c r="D19" s="619"/>
      <c r="E19" s="619"/>
    </row>
    <row r="20" spans="1:5" ht="16.5" customHeight="1" x14ac:dyDescent="0.3">
      <c r="A20" s="617" t="s">
        <v>8</v>
      </c>
      <c r="B20" s="621">
        <v>18.010000000000002</v>
      </c>
      <c r="C20" s="619"/>
      <c r="D20" s="619"/>
      <c r="E20" s="619"/>
    </row>
    <row r="21" spans="1:5" ht="16.5" customHeight="1" x14ac:dyDescent="0.3">
      <c r="A21" s="617" t="s">
        <v>10</v>
      </c>
      <c r="B21" s="622">
        <f>B20/50*10/25</f>
        <v>0.14408000000000001</v>
      </c>
      <c r="C21" s="619"/>
      <c r="D21" s="619"/>
      <c r="E21" s="619"/>
    </row>
    <row r="22" spans="1:5" ht="15.75" customHeight="1" x14ac:dyDescent="0.25">
      <c r="A22" s="619"/>
      <c r="B22" s="619" t="s">
        <v>133</v>
      </c>
      <c r="C22" s="619"/>
      <c r="D22" s="619"/>
      <c r="E22" s="619"/>
    </row>
    <row r="23" spans="1:5" ht="16.5" customHeight="1" x14ac:dyDescent="0.3">
      <c r="A23" s="623" t="s">
        <v>13</v>
      </c>
      <c r="B23" s="624" t="s">
        <v>14</v>
      </c>
      <c r="C23" s="623" t="s">
        <v>15</v>
      </c>
      <c r="D23" s="623" t="s">
        <v>16</v>
      </c>
      <c r="E23" s="623" t="s">
        <v>17</v>
      </c>
    </row>
    <row r="24" spans="1:5" ht="16.5" customHeight="1" x14ac:dyDescent="0.3">
      <c r="A24" s="625">
        <v>1</v>
      </c>
      <c r="B24" s="626">
        <v>28227340</v>
      </c>
      <c r="C24" s="626">
        <v>7941.5</v>
      </c>
      <c r="D24" s="627">
        <v>1</v>
      </c>
      <c r="E24" s="628">
        <v>5.4</v>
      </c>
    </row>
    <row r="25" spans="1:5" ht="16.5" customHeight="1" x14ac:dyDescent="0.3">
      <c r="A25" s="625">
        <v>2</v>
      </c>
      <c r="B25" s="626">
        <v>28187552</v>
      </c>
      <c r="C25" s="626">
        <v>7379.5</v>
      </c>
      <c r="D25" s="627">
        <v>1</v>
      </c>
      <c r="E25" s="627">
        <v>5.4</v>
      </c>
    </row>
    <row r="26" spans="1:5" ht="16.5" customHeight="1" x14ac:dyDescent="0.3">
      <c r="A26" s="625">
        <v>3</v>
      </c>
      <c r="B26" s="626">
        <v>27861833</v>
      </c>
      <c r="C26" s="626">
        <v>7409.3</v>
      </c>
      <c r="D26" s="627">
        <v>1</v>
      </c>
      <c r="E26" s="627">
        <v>5.4</v>
      </c>
    </row>
    <row r="27" spans="1:5" ht="16.5" customHeight="1" x14ac:dyDescent="0.3">
      <c r="A27" s="625">
        <v>4</v>
      </c>
      <c r="B27" s="626">
        <v>28188235</v>
      </c>
      <c r="C27" s="626">
        <v>7464.9</v>
      </c>
      <c r="D27" s="627">
        <v>1</v>
      </c>
      <c r="E27" s="627">
        <v>5.4</v>
      </c>
    </row>
    <row r="28" spans="1:5" ht="16.5" customHeight="1" x14ac:dyDescent="0.3">
      <c r="A28" s="625">
        <v>5</v>
      </c>
      <c r="B28" s="626">
        <v>28120334</v>
      </c>
      <c r="C28" s="626">
        <v>7467.6</v>
      </c>
      <c r="D28" s="627">
        <v>1</v>
      </c>
      <c r="E28" s="627">
        <v>5.4</v>
      </c>
    </row>
    <row r="29" spans="1:5" ht="16.5" customHeight="1" x14ac:dyDescent="0.3">
      <c r="A29" s="625">
        <v>6</v>
      </c>
      <c r="B29" s="629">
        <v>27914804</v>
      </c>
      <c r="C29" s="629">
        <v>7478.6</v>
      </c>
      <c r="D29" s="630">
        <v>1</v>
      </c>
      <c r="E29" s="630">
        <v>5.4</v>
      </c>
    </row>
    <row r="30" spans="1:5" ht="16.5" customHeight="1" x14ac:dyDescent="0.3">
      <c r="A30" s="631" t="s">
        <v>18</v>
      </c>
      <c r="B30" s="632">
        <f>AVERAGE(B24:B29)</f>
        <v>28083349.666666668</v>
      </c>
      <c r="C30" s="633">
        <f>AVERAGE(C24:C29)</f>
        <v>7523.5666666666657</v>
      </c>
      <c r="D30" s="634">
        <f>AVERAGE(D24:D29)</f>
        <v>1</v>
      </c>
      <c r="E30" s="634">
        <f>AVERAGE(E24:E29)</f>
        <v>5.3999999999999995</v>
      </c>
    </row>
    <row r="31" spans="1:5" ht="16.5" customHeight="1" x14ac:dyDescent="0.3">
      <c r="A31" s="635" t="s">
        <v>19</v>
      </c>
      <c r="B31" s="636">
        <f>(STDEV(B24:B29)/B30)</f>
        <v>5.5493524159268576E-3</v>
      </c>
      <c r="C31" s="637"/>
      <c r="D31" s="637"/>
      <c r="E31" s="638"/>
    </row>
    <row r="32" spans="1:5" s="612" customFormat="1" ht="16.5" customHeight="1" x14ac:dyDescent="0.3">
      <c r="A32" s="639" t="s">
        <v>20</v>
      </c>
      <c r="B32" s="640">
        <f>COUNT(B24:B29)</f>
        <v>6</v>
      </c>
      <c r="C32" s="641"/>
      <c r="D32" s="642"/>
      <c r="E32" s="643"/>
    </row>
    <row r="33" spans="1:5" s="612" customFormat="1" ht="15.75" customHeight="1" x14ac:dyDescent="0.25">
      <c r="A33" s="619"/>
      <c r="B33" s="619"/>
      <c r="C33" s="619"/>
      <c r="D33" s="619"/>
      <c r="E33" s="619"/>
    </row>
    <row r="34" spans="1:5" s="612" customFormat="1" ht="16.5" customHeight="1" x14ac:dyDescent="0.3">
      <c r="A34" s="620" t="s">
        <v>21</v>
      </c>
      <c r="B34" s="644" t="s">
        <v>22</v>
      </c>
      <c r="C34" s="645"/>
      <c r="D34" s="645"/>
      <c r="E34" s="645"/>
    </row>
    <row r="35" spans="1:5" ht="16.5" customHeight="1" x14ac:dyDescent="0.3">
      <c r="A35" s="620"/>
      <c r="B35" s="644" t="s">
        <v>23</v>
      </c>
      <c r="C35" s="645"/>
      <c r="D35" s="645"/>
      <c r="E35" s="645"/>
    </row>
    <row r="36" spans="1:5" ht="16.5" customHeight="1" x14ac:dyDescent="0.3">
      <c r="A36" s="620"/>
      <c r="B36" s="644" t="s">
        <v>24</v>
      </c>
      <c r="C36" s="645"/>
      <c r="D36" s="645"/>
      <c r="E36" s="645"/>
    </row>
    <row r="37" spans="1:5" ht="15.75" customHeight="1" x14ac:dyDescent="0.25">
      <c r="A37" s="619"/>
      <c r="B37" s="619"/>
      <c r="C37" s="619"/>
      <c r="D37" s="619"/>
      <c r="E37" s="619"/>
    </row>
    <row r="38" spans="1:5" ht="16.5" customHeight="1" x14ac:dyDescent="0.3">
      <c r="A38" s="615" t="s">
        <v>1</v>
      </c>
      <c r="B38" s="616" t="s">
        <v>25</v>
      </c>
    </row>
    <row r="39" spans="1:5" ht="16.5" customHeight="1" x14ac:dyDescent="0.3">
      <c r="A39" s="620" t="s">
        <v>4</v>
      </c>
      <c r="B39" s="617" t="s">
        <v>134</v>
      </c>
      <c r="C39" s="619"/>
      <c r="D39" s="619"/>
      <c r="E39" s="619"/>
    </row>
    <row r="40" spans="1:5" ht="16.5" customHeight="1" x14ac:dyDescent="0.3">
      <c r="A40" s="620" t="s">
        <v>6</v>
      </c>
      <c r="B40" s="621">
        <v>98</v>
      </c>
      <c r="C40" s="619"/>
      <c r="D40" s="619"/>
      <c r="E40" s="619"/>
    </row>
    <row r="41" spans="1:5" ht="16.5" customHeight="1" x14ac:dyDescent="0.3">
      <c r="A41" s="617" t="s">
        <v>8</v>
      </c>
      <c r="B41" s="621">
        <v>16.95</v>
      </c>
      <c r="C41" s="619"/>
      <c r="D41" s="619"/>
      <c r="E41" s="619"/>
    </row>
    <row r="42" spans="1:5" ht="16.5" customHeight="1" x14ac:dyDescent="0.3">
      <c r="A42" s="617" t="s">
        <v>10</v>
      </c>
      <c r="B42" s="622">
        <f>B41/50</f>
        <v>0.33899999999999997</v>
      </c>
      <c r="C42" s="619"/>
      <c r="D42" s="619"/>
      <c r="E42" s="619"/>
    </row>
    <row r="43" spans="1:5" ht="15.75" customHeight="1" x14ac:dyDescent="0.25">
      <c r="A43" s="619"/>
      <c r="B43" s="619"/>
      <c r="C43" s="619"/>
      <c r="D43" s="619"/>
      <c r="E43" s="619"/>
    </row>
    <row r="44" spans="1:5" ht="16.5" customHeight="1" x14ac:dyDescent="0.3">
      <c r="A44" s="623" t="s">
        <v>13</v>
      </c>
      <c r="B44" s="624" t="s">
        <v>14</v>
      </c>
      <c r="C44" s="623" t="s">
        <v>15</v>
      </c>
      <c r="D44" s="623" t="s">
        <v>16</v>
      </c>
      <c r="E44" s="623" t="s">
        <v>17</v>
      </c>
    </row>
    <row r="45" spans="1:5" ht="16.5" customHeight="1" x14ac:dyDescent="0.3">
      <c r="A45" s="625">
        <v>1</v>
      </c>
      <c r="B45" s="626">
        <v>64073755</v>
      </c>
      <c r="C45" s="626">
        <v>6766.2</v>
      </c>
      <c r="D45" s="627">
        <v>0.9</v>
      </c>
      <c r="E45" s="628">
        <v>4.8</v>
      </c>
    </row>
    <row r="46" spans="1:5" ht="16.5" customHeight="1" x14ac:dyDescent="0.3">
      <c r="A46" s="625">
        <v>2</v>
      </c>
      <c r="B46" s="626">
        <v>65242733</v>
      </c>
      <c r="C46" s="626">
        <v>6674.3</v>
      </c>
      <c r="D46" s="627">
        <v>0.9</v>
      </c>
      <c r="E46" s="627">
        <v>4.8</v>
      </c>
    </row>
    <row r="47" spans="1:5" ht="16.5" customHeight="1" x14ac:dyDescent="0.3">
      <c r="A47" s="625">
        <v>3</v>
      </c>
      <c r="B47" s="626">
        <v>65340275</v>
      </c>
      <c r="C47" s="626">
        <v>6670.6</v>
      </c>
      <c r="D47" s="627">
        <v>0.9</v>
      </c>
      <c r="E47" s="627">
        <v>4.8</v>
      </c>
    </row>
    <row r="48" spans="1:5" ht="16.5" customHeight="1" x14ac:dyDescent="0.3">
      <c r="A48" s="625">
        <v>4</v>
      </c>
      <c r="B48" s="626">
        <v>64054853</v>
      </c>
      <c r="C48" s="626">
        <v>6705.4</v>
      </c>
      <c r="D48" s="627">
        <v>0.9</v>
      </c>
      <c r="E48" s="627">
        <v>4.8</v>
      </c>
    </row>
    <row r="49" spans="1:7" ht="16.5" customHeight="1" x14ac:dyDescent="0.3">
      <c r="A49" s="625">
        <v>5</v>
      </c>
      <c r="B49" s="626">
        <v>65487696</v>
      </c>
      <c r="C49" s="626">
        <v>6700.9</v>
      </c>
      <c r="D49" s="627">
        <v>0.9</v>
      </c>
      <c r="E49" s="627">
        <v>4.8</v>
      </c>
    </row>
    <row r="50" spans="1:7" ht="16.5" customHeight="1" x14ac:dyDescent="0.3">
      <c r="A50" s="625">
        <v>6</v>
      </c>
      <c r="B50" s="629">
        <v>65126952</v>
      </c>
      <c r="C50" s="629">
        <v>6704.1</v>
      </c>
      <c r="D50" s="630">
        <v>0.9</v>
      </c>
      <c r="E50" s="630">
        <v>4.8</v>
      </c>
    </row>
    <row r="51" spans="1:7" ht="16.5" customHeight="1" x14ac:dyDescent="0.3">
      <c r="A51" s="631" t="s">
        <v>18</v>
      </c>
      <c r="B51" s="632">
        <f>AVERAGE(B45:B50)</f>
        <v>64887710.666666664</v>
      </c>
      <c r="C51" s="633">
        <f>AVERAGE(C45:C50)</f>
        <v>6703.583333333333</v>
      </c>
      <c r="D51" s="634">
        <f>AVERAGE(D45:D50)</f>
        <v>0.9</v>
      </c>
      <c r="E51" s="634">
        <f>AVERAGE(E45:E50)</f>
        <v>4.8</v>
      </c>
    </row>
    <row r="52" spans="1:7" ht="16.5" customHeight="1" x14ac:dyDescent="0.3">
      <c r="A52" s="635" t="s">
        <v>19</v>
      </c>
      <c r="B52" s="636">
        <f>(STDEV(B45:B50)/B51)</f>
        <v>9.9977253127687214E-3</v>
      </c>
      <c r="C52" s="637"/>
      <c r="D52" s="637"/>
      <c r="E52" s="638"/>
    </row>
    <row r="53" spans="1:7" s="612" customFormat="1" ht="16.5" customHeight="1" x14ac:dyDescent="0.3">
      <c r="A53" s="639" t="s">
        <v>20</v>
      </c>
      <c r="B53" s="640">
        <f>COUNT(B45:B50)</f>
        <v>6</v>
      </c>
      <c r="C53" s="641"/>
      <c r="D53" s="642"/>
      <c r="E53" s="643"/>
    </row>
    <row r="54" spans="1:7" s="612" customFormat="1" ht="15.75" customHeight="1" x14ac:dyDescent="0.25">
      <c r="A54" s="619"/>
      <c r="B54" s="619"/>
      <c r="C54" s="619"/>
      <c r="D54" s="619"/>
      <c r="E54" s="619"/>
    </row>
    <row r="55" spans="1:7" s="612" customFormat="1" ht="16.5" customHeight="1" x14ac:dyDescent="0.3">
      <c r="A55" s="620" t="s">
        <v>21</v>
      </c>
      <c r="B55" s="644" t="s">
        <v>22</v>
      </c>
      <c r="C55" s="645"/>
      <c r="D55" s="645"/>
      <c r="E55" s="645"/>
    </row>
    <row r="56" spans="1:7" ht="16.5" customHeight="1" x14ac:dyDescent="0.3">
      <c r="A56" s="620"/>
      <c r="B56" s="644" t="s">
        <v>23</v>
      </c>
      <c r="C56" s="645"/>
      <c r="D56" s="645"/>
      <c r="E56" s="645"/>
    </row>
    <row r="57" spans="1:7" ht="16.5" customHeight="1" x14ac:dyDescent="0.3">
      <c r="A57" s="620"/>
      <c r="B57" s="644" t="s">
        <v>24</v>
      </c>
      <c r="C57" s="645"/>
      <c r="D57" s="645"/>
      <c r="E57" s="645"/>
    </row>
    <row r="58" spans="1:7" ht="14.25" customHeight="1" thickBot="1" x14ac:dyDescent="0.3">
      <c r="A58" s="646"/>
      <c r="B58" s="647"/>
      <c r="D58" s="648"/>
      <c r="F58" s="614"/>
      <c r="G58" s="614"/>
    </row>
    <row r="59" spans="1:7" ht="15" customHeight="1" x14ac:dyDescent="0.3">
      <c r="B59" s="740" t="s">
        <v>26</v>
      </c>
      <c r="C59" s="740"/>
      <c r="E59" s="654" t="s">
        <v>27</v>
      </c>
      <c r="F59" s="649"/>
      <c r="G59" s="654" t="s">
        <v>28</v>
      </c>
    </row>
    <row r="60" spans="1:7" ht="15" customHeight="1" x14ac:dyDescent="0.3">
      <c r="A60" s="650" t="s">
        <v>29</v>
      </c>
      <c r="B60" s="651"/>
      <c r="C60" s="651"/>
      <c r="E60" s="651"/>
      <c r="G60" s="651"/>
    </row>
    <row r="61" spans="1:7" ht="15" customHeight="1" x14ac:dyDescent="0.3">
      <c r="A61" s="650" t="s">
        <v>30</v>
      </c>
      <c r="B61" s="652"/>
      <c r="C61" s="652"/>
      <c r="E61" s="652"/>
      <c r="G61" s="65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B56" sqref="B56"/>
    </sheetView>
  </sheetViews>
  <sheetFormatPr defaultRowHeight="13.5" x14ac:dyDescent="0.25"/>
  <cols>
    <col min="1" max="1" width="27.5703125" style="791" customWidth="1"/>
    <col min="2" max="2" width="20.42578125" style="791" customWidth="1"/>
    <col min="3" max="3" width="31.85546875" style="791" customWidth="1"/>
    <col min="4" max="4" width="25.85546875" style="791" customWidth="1"/>
    <col min="5" max="5" width="25.7109375" style="791" customWidth="1"/>
    <col min="6" max="6" width="23.140625" style="791" customWidth="1"/>
    <col min="7" max="7" width="28.42578125" style="791" customWidth="1"/>
    <col min="8" max="8" width="21.5703125" style="791" customWidth="1"/>
    <col min="9" max="9" width="9.140625" style="791" customWidth="1"/>
    <col min="10" max="16384" width="9.140625" style="828"/>
  </cols>
  <sheetData>
    <row r="14" spans="1:6" ht="15" customHeight="1" x14ac:dyDescent="0.3">
      <c r="A14" s="790"/>
      <c r="C14" s="792"/>
      <c r="F14" s="792"/>
    </row>
    <row r="15" spans="1:6" ht="18.75" customHeight="1" x14ac:dyDescent="0.3">
      <c r="A15" s="793" t="s">
        <v>0</v>
      </c>
      <c r="B15" s="793"/>
      <c r="C15" s="793"/>
      <c r="D15" s="793"/>
      <c r="E15" s="793"/>
    </row>
    <row r="16" spans="1:6" ht="16.5" customHeight="1" x14ac:dyDescent="0.3">
      <c r="A16" s="794" t="s">
        <v>1</v>
      </c>
      <c r="B16" s="795" t="s">
        <v>2</v>
      </c>
    </row>
    <row r="17" spans="1:5" ht="16.5" customHeight="1" x14ac:dyDescent="0.3">
      <c r="A17" s="796" t="s">
        <v>3</v>
      </c>
      <c r="B17" s="796" t="s">
        <v>131</v>
      </c>
      <c r="D17" s="797"/>
      <c r="E17" s="798"/>
    </row>
    <row r="18" spans="1:5" ht="16.5" customHeight="1" x14ac:dyDescent="0.3">
      <c r="A18" s="799" t="s">
        <v>4</v>
      </c>
      <c r="B18" s="791" t="s">
        <v>132</v>
      </c>
      <c r="C18" s="798"/>
      <c r="D18" s="798"/>
      <c r="E18" s="798"/>
    </row>
    <row r="19" spans="1:5" ht="16.5" customHeight="1" x14ac:dyDescent="0.3">
      <c r="A19" s="799" t="s">
        <v>6</v>
      </c>
      <c r="B19" s="800">
        <v>98.8</v>
      </c>
      <c r="C19" s="798"/>
      <c r="D19" s="798"/>
      <c r="E19" s="798"/>
    </row>
    <row r="20" spans="1:5" ht="16.5" customHeight="1" x14ac:dyDescent="0.3">
      <c r="A20" s="796" t="s">
        <v>8</v>
      </c>
      <c r="B20" s="800">
        <v>14.25</v>
      </c>
      <c r="C20" s="798"/>
      <c r="D20" s="798"/>
      <c r="E20" s="798"/>
    </row>
    <row r="21" spans="1:5" ht="16.5" customHeight="1" x14ac:dyDescent="0.3">
      <c r="A21" s="796" t="s">
        <v>10</v>
      </c>
      <c r="B21" s="801">
        <f>B20/50*10/25</f>
        <v>0.11399999999999999</v>
      </c>
      <c r="C21" s="798"/>
      <c r="D21" s="798"/>
      <c r="E21" s="798"/>
    </row>
    <row r="22" spans="1:5" ht="15.75" customHeight="1" x14ac:dyDescent="0.25">
      <c r="A22" s="798"/>
      <c r="B22" s="798" t="s">
        <v>133</v>
      </c>
      <c r="C22" s="798"/>
      <c r="D22" s="798"/>
      <c r="E22" s="798"/>
    </row>
    <row r="23" spans="1:5" ht="16.5" customHeight="1" x14ac:dyDescent="0.3">
      <c r="A23" s="802" t="s">
        <v>13</v>
      </c>
      <c r="B23" s="803" t="s">
        <v>14</v>
      </c>
      <c r="C23" s="802" t="s">
        <v>15</v>
      </c>
      <c r="D23" s="802" t="s">
        <v>16</v>
      </c>
      <c r="E23" s="802" t="s">
        <v>17</v>
      </c>
    </row>
    <row r="24" spans="1:5" ht="16.5" customHeight="1" x14ac:dyDescent="0.3">
      <c r="A24" s="804">
        <v>1</v>
      </c>
      <c r="B24" s="805">
        <v>12161426</v>
      </c>
      <c r="C24" s="805">
        <v>621984.80000000005</v>
      </c>
      <c r="D24" s="806">
        <v>1.1000000000000001</v>
      </c>
      <c r="E24" s="807">
        <v>24.6</v>
      </c>
    </row>
    <row r="25" spans="1:5" ht="16.5" customHeight="1" x14ac:dyDescent="0.3">
      <c r="A25" s="804">
        <v>2</v>
      </c>
      <c r="B25" s="805">
        <v>12134520</v>
      </c>
      <c r="C25" s="805">
        <v>626626.9</v>
      </c>
      <c r="D25" s="806">
        <v>1.1000000000000001</v>
      </c>
      <c r="E25" s="806">
        <v>24.6</v>
      </c>
    </row>
    <row r="26" spans="1:5" ht="16.5" customHeight="1" x14ac:dyDescent="0.3">
      <c r="A26" s="804">
        <v>3</v>
      </c>
      <c r="B26" s="805">
        <v>12005492</v>
      </c>
      <c r="C26" s="805">
        <v>636969.1</v>
      </c>
      <c r="D26" s="806">
        <v>1.1000000000000001</v>
      </c>
      <c r="E26" s="806">
        <v>24.6</v>
      </c>
    </row>
    <row r="27" spans="1:5" ht="16.5" customHeight="1" x14ac:dyDescent="0.3">
      <c r="A27" s="804">
        <v>4</v>
      </c>
      <c r="B27" s="805">
        <v>12142659</v>
      </c>
      <c r="C27" s="805">
        <v>643714.5</v>
      </c>
      <c r="D27" s="806">
        <v>1.1000000000000001</v>
      </c>
      <c r="E27" s="806">
        <v>24.6</v>
      </c>
    </row>
    <row r="28" spans="1:5" ht="16.5" customHeight="1" x14ac:dyDescent="0.3">
      <c r="A28" s="804">
        <v>5</v>
      </c>
      <c r="B28" s="805">
        <v>11986395</v>
      </c>
      <c r="C28" s="805">
        <v>645851.19999999995</v>
      </c>
      <c r="D28" s="806">
        <v>1.1000000000000001</v>
      </c>
      <c r="E28" s="806">
        <v>24.6</v>
      </c>
    </row>
    <row r="29" spans="1:5" ht="16.5" customHeight="1" x14ac:dyDescent="0.3">
      <c r="A29" s="804">
        <v>6</v>
      </c>
      <c r="B29" s="808">
        <v>12238309</v>
      </c>
      <c r="C29" s="808">
        <v>650481.1</v>
      </c>
      <c r="D29" s="809">
        <v>1.1000000000000001</v>
      </c>
      <c r="E29" s="809">
        <v>24.6</v>
      </c>
    </row>
    <row r="30" spans="1:5" ht="16.5" customHeight="1" x14ac:dyDescent="0.3">
      <c r="A30" s="810" t="s">
        <v>18</v>
      </c>
      <c r="B30" s="811">
        <f>AVERAGE(B24:B29)</f>
        <v>12111466.833333334</v>
      </c>
      <c r="C30" s="812">
        <f>AVERAGE(C24:C29)</f>
        <v>637604.6</v>
      </c>
      <c r="D30" s="813">
        <f>AVERAGE(D24:D29)</f>
        <v>1.0999999999999999</v>
      </c>
      <c r="E30" s="813">
        <f>AVERAGE(E24:E29)</f>
        <v>24.599999999999998</v>
      </c>
    </row>
    <row r="31" spans="1:5" ht="16.5" customHeight="1" x14ac:dyDescent="0.3">
      <c r="A31" s="814" t="s">
        <v>19</v>
      </c>
      <c r="B31" s="815">
        <f>(STDEV(B24:B29)/B30)</f>
        <v>8.0019461521337893E-3</v>
      </c>
      <c r="C31" s="816"/>
      <c r="D31" s="816"/>
      <c r="E31" s="817"/>
    </row>
    <row r="32" spans="1:5" s="791" customFormat="1" ht="16.5" customHeight="1" x14ac:dyDescent="0.3">
      <c r="A32" s="818" t="s">
        <v>20</v>
      </c>
      <c r="B32" s="819">
        <f>COUNT(B24:B29)</f>
        <v>6</v>
      </c>
      <c r="C32" s="820"/>
      <c r="D32" s="821"/>
      <c r="E32" s="822"/>
    </row>
    <row r="33" spans="1:5" s="791" customFormat="1" ht="15.75" customHeight="1" x14ac:dyDescent="0.25">
      <c r="A33" s="798"/>
      <c r="B33" s="798"/>
      <c r="C33" s="798"/>
      <c r="D33" s="798"/>
      <c r="E33" s="798"/>
    </row>
    <row r="34" spans="1:5" s="791" customFormat="1" ht="16.5" customHeight="1" x14ac:dyDescent="0.3">
      <c r="A34" s="799" t="s">
        <v>21</v>
      </c>
      <c r="B34" s="823" t="s">
        <v>22</v>
      </c>
      <c r="C34" s="824"/>
      <c r="D34" s="824"/>
      <c r="E34" s="824"/>
    </row>
    <row r="35" spans="1:5" ht="16.5" customHeight="1" x14ac:dyDescent="0.3">
      <c r="A35" s="799"/>
      <c r="B35" s="823" t="s">
        <v>23</v>
      </c>
      <c r="C35" s="824"/>
      <c r="D35" s="824"/>
      <c r="E35" s="824"/>
    </row>
    <row r="36" spans="1:5" ht="16.5" customHeight="1" x14ac:dyDescent="0.3">
      <c r="A36" s="799"/>
      <c r="B36" s="823" t="s">
        <v>24</v>
      </c>
      <c r="C36" s="824"/>
      <c r="D36" s="824"/>
      <c r="E36" s="824"/>
    </row>
    <row r="37" spans="1:5" ht="15.75" customHeight="1" x14ac:dyDescent="0.25">
      <c r="A37" s="798"/>
      <c r="B37" s="798"/>
      <c r="C37" s="798"/>
      <c r="D37" s="798"/>
      <c r="E37" s="798"/>
    </row>
    <row r="38" spans="1:5" ht="16.5" customHeight="1" x14ac:dyDescent="0.3">
      <c r="A38" s="794" t="s">
        <v>1</v>
      </c>
      <c r="B38" s="795" t="s">
        <v>25</v>
      </c>
    </row>
    <row r="39" spans="1:5" ht="16.5" customHeight="1" x14ac:dyDescent="0.3">
      <c r="A39" s="799" t="s">
        <v>4</v>
      </c>
      <c r="B39" s="796" t="s">
        <v>132</v>
      </c>
      <c r="C39" s="798"/>
      <c r="D39" s="798"/>
      <c r="E39" s="798"/>
    </row>
    <row r="40" spans="1:5" ht="16.5" customHeight="1" x14ac:dyDescent="0.3">
      <c r="A40" s="799" t="s">
        <v>6</v>
      </c>
      <c r="B40" s="800">
        <v>98.8</v>
      </c>
      <c r="C40" s="798"/>
      <c r="D40" s="798"/>
      <c r="E40" s="798"/>
    </row>
    <row r="41" spans="1:5" ht="16.5" customHeight="1" x14ac:dyDescent="0.3">
      <c r="A41" s="796" t="s">
        <v>8</v>
      </c>
      <c r="B41" s="800">
        <v>16.809999999999999</v>
      </c>
      <c r="C41" s="798"/>
      <c r="D41" s="798"/>
      <c r="E41" s="798"/>
    </row>
    <row r="42" spans="1:5" ht="16.5" customHeight="1" x14ac:dyDescent="0.3">
      <c r="A42" s="796" t="s">
        <v>10</v>
      </c>
      <c r="B42" s="801">
        <f>B41/50</f>
        <v>0.3362</v>
      </c>
      <c r="C42" s="798"/>
      <c r="D42" s="798"/>
      <c r="E42" s="798"/>
    </row>
    <row r="43" spans="1:5" ht="15.75" customHeight="1" x14ac:dyDescent="0.25">
      <c r="A43" s="798"/>
      <c r="B43" s="798"/>
      <c r="C43" s="798"/>
      <c r="D43" s="798"/>
      <c r="E43" s="798"/>
    </row>
    <row r="44" spans="1:5" ht="16.5" customHeight="1" x14ac:dyDescent="0.3">
      <c r="A44" s="802" t="s">
        <v>13</v>
      </c>
      <c r="B44" s="803" t="s">
        <v>14</v>
      </c>
      <c r="C44" s="802" t="s">
        <v>15</v>
      </c>
      <c r="D44" s="802" t="s">
        <v>16</v>
      </c>
      <c r="E44" s="802" t="s">
        <v>17</v>
      </c>
    </row>
    <row r="45" spans="1:5" ht="16.5" customHeight="1" x14ac:dyDescent="0.3">
      <c r="A45" s="804">
        <v>1</v>
      </c>
      <c r="B45" s="805">
        <v>32220347</v>
      </c>
      <c r="C45" s="805">
        <v>55271.1</v>
      </c>
      <c r="D45" s="806">
        <v>1</v>
      </c>
      <c r="E45" s="807">
        <v>16.3</v>
      </c>
    </row>
    <row r="46" spans="1:5" ht="16.5" customHeight="1" x14ac:dyDescent="0.3">
      <c r="A46" s="804">
        <v>2</v>
      </c>
      <c r="B46" s="805">
        <v>32796925</v>
      </c>
      <c r="C46" s="805">
        <v>55190.1</v>
      </c>
      <c r="D46" s="806">
        <v>1</v>
      </c>
      <c r="E46" s="806">
        <v>16.3</v>
      </c>
    </row>
    <row r="47" spans="1:5" ht="16.5" customHeight="1" x14ac:dyDescent="0.3">
      <c r="A47" s="804">
        <v>3</v>
      </c>
      <c r="B47" s="805">
        <v>32847628</v>
      </c>
      <c r="C47" s="805">
        <v>55325.4</v>
      </c>
      <c r="D47" s="806">
        <v>1</v>
      </c>
      <c r="E47" s="806">
        <v>16.3</v>
      </c>
    </row>
    <row r="48" spans="1:5" ht="16.5" customHeight="1" x14ac:dyDescent="0.3">
      <c r="A48" s="804">
        <v>4</v>
      </c>
      <c r="B48" s="805">
        <v>32162485</v>
      </c>
      <c r="C48" s="805">
        <v>55424.5</v>
      </c>
      <c r="D48" s="806">
        <v>1</v>
      </c>
      <c r="E48" s="806">
        <v>16.3</v>
      </c>
    </row>
    <row r="49" spans="1:7" ht="16.5" customHeight="1" x14ac:dyDescent="0.3">
      <c r="A49" s="804">
        <v>5</v>
      </c>
      <c r="B49" s="805">
        <v>32895864</v>
      </c>
      <c r="C49" s="805">
        <v>55251.4</v>
      </c>
      <c r="D49" s="806">
        <v>1</v>
      </c>
      <c r="E49" s="806">
        <v>16.3</v>
      </c>
    </row>
    <row r="50" spans="1:7" ht="16.5" customHeight="1" x14ac:dyDescent="0.3">
      <c r="A50" s="804">
        <v>6</v>
      </c>
      <c r="B50" s="808">
        <v>32700864</v>
      </c>
      <c r="C50" s="808">
        <v>55638.2</v>
      </c>
      <c r="D50" s="809">
        <v>1</v>
      </c>
      <c r="E50" s="809">
        <v>16.3</v>
      </c>
    </row>
    <row r="51" spans="1:7" ht="16.5" customHeight="1" x14ac:dyDescent="0.3">
      <c r="A51" s="810" t="s">
        <v>18</v>
      </c>
      <c r="B51" s="811">
        <f>AVERAGE(B45:B50)</f>
        <v>32604018.833333332</v>
      </c>
      <c r="C51" s="812">
        <f>AVERAGE(C45:C50)</f>
        <v>55350.116666666669</v>
      </c>
      <c r="D51" s="813">
        <f>AVERAGE(D45:D50)</f>
        <v>1</v>
      </c>
      <c r="E51" s="813">
        <f>AVERAGE(E45:E50)</f>
        <v>16.3</v>
      </c>
    </row>
    <row r="52" spans="1:7" ht="16.5" customHeight="1" x14ac:dyDescent="0.3">
      <c r="A52" s="814" t="s">
        <v>19</v>
      </c>
      <c r="B52" s="815">
        <f>(STDEV(B45:B50)/B51)</f>
        <v>1.0016505156511814E-2</v>
      </c>
      <c r="C52" s="816"/>
      <c r="D52" s="816"/>
      <c r="E52" s="817"/>
    </row>
    <row r="53" spans="1:7" s="791" customFormat="1" ht="16.5" customHeight="1" x14ac:dyDescent="0.3">
      <c r="A53" s="818" t="s">
        <v>20</v>
      </c>
      <c r="B53" s="819">
        <f>COUNT(B45:B50)</f>
        <v>6</v>
      </c>
      <c r="C53" s="820"/>
      <c r="D53" s="821"/>
      <c r="E53" s="822"/>
    </row>
    <row r="54" spans="1:7" s="791" customFormat="1" ht="15.75" customHeight="1" x14ac:dyDescent="0.25">
      <c r="A54" s="798"/>
      <c r="B54" s="798"/>
      <c r="C54" s="798"/>
      <c r="D54" s="798"/>
      <c r="E54" s="798"/>
    </row>
    <row r="55" spans="1:7" s="791" customFormat="1" ht="16.5" customHeight="1" x14ac:dyDescent="0.3">
      <c r="A55" s="799" t="s">
        <v>21</v>
      </c>
      <c r="B55" s="823" t="s">
        <v>22</v>
      </c>
      <c r="C55" s="824"/>
      <c r="D55" s="824"/>
      <c r="E55" s="824"/>
    </row>
    <row r="56" spans="1:7" ht="16.5" customHeight="1" x14ac:dyDescent="0.3">
      <c r="A56" s="799"/>
      <c r="B56" s="823" t="s">
        <v>23</v>
      </c>
      <c r="C56" s="824"/>
      <c r="D56" s="824"/>
      <c r="E56" s="824"/>
    </row>
    <row r="57" spans="1:7" ht="16.5" customHeight="1" x14ac:dyDescent="0.3">
      <c r="A57" s="799"/>
      <c r="B57" s="823" t="s">
        <v>24</v>
      </c>
      <c r="C57" s="824"/>
      <c r="D57" s="824"/>
      <c r="E57" s="824"/>
    </row>
    <row r="58" spans="1:7" ht="14.25" customHeight="1" thickBot="1" x14ac:dyDescent="0.3">
      <c r="A58" s="825"/>
      <c r="B58" s="826"/>
      <c r="D58" s="827"/>
      <c r="F58" s="828"/>
      <c r="G58" s="828"/>
    </row>
    <row r="59" spans="1:7" ht="15" customHeight="1" x14ac:dyDescent="0.3">
      <c r="B59" s="829" t="s">
        <v>26</v>
      </c>
      <c r="C59" s="829"/>
      <c r="E59" s="830" t="s">
        <v>27</v>
      </c>
      <c r="F59" s="831"/>
      <c r="G59" s="830" t="s">
        <v>28</v>
      </c>
    </row>
    <row r="60" spans="1:7" ht="15" customHeight="1" x14ac:dyDescent="0.3">
      <c r="A60" s="832" t="s">
        <v>29</v>
      </c>
      <c r="B60" s="833"/>
      <c r="C60" s="833"/>
      <c r="E60" s="833"/>
      <c r="G60" s="833"/>
    </row>
    <row r="61" spans="1:7" ht="15" customHeight="1" x14ac:dyDescent="0.3">
      <c r="A61" s="832" t="s">
        <v>30</v>
      </c>
      <c r="B61" s="834"/>
      <c r="C61" s="834"/>
      <c r="E61" s="834"/>
      <c r="G61" s="83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72" zoomScale="41" zoomScaleNormal="40" zoomScalePageLayoutView="41" workbookViewId="0">
      <selection activeCell="F91" sqref="F91:F93"/>
    </sheetView>
  </sheetViews>
  <sheetFormatPr defaultColWidth="9.140625" defaultRowHeight="13.5" x14ac:dyDescent="0.25"/>
  <cols>
    <col min="1" max="1" width="55.42578125" style="281" customWidth="1"/>
    <col min="2" max="2" width="33.7109375" style="281" customWidth="1"/>
    <col min="3" max="3" width="42.28515625" style="281" customWidth="1"/>
    <col min="4" max="4" width="30.5703125" style="281" customWidth="1"/>
    <col min="5" max="5" width="39.85546875" style="281" customWidth="1"/>
    <col min="6" max="6" width="30.7109375" style="281" customWidth="1"/>
    <col min="7" max="7" width="39.85546875" style="281" customWidth="1"/>
    <col min="8" max="8" width="30" style="281" customWidth="1"/>
    <col min="9" max="9" width="30.28515625" style="281" hidden="1" customWidth="1"/>
    <col min="10" max="10" width="30.42578125" style="281" customWidth="1"/>
    <col min="11" max="11" width="21.28515625" style="281" customWidth="1"/>
    <col min="12" max="12" width="9.140625" style="281"/>
    <col min="13" max="16384" width="9.140625" style="282"/>
  </cols>
  <sheetData>
    <row r="1" spans="1:9" ht="18.75" customHeight="1" x14ac:dyDescent="0.25">
      <c r="A1" s="660" t="s">
        <v>45</v>
      </c>
      <c r="B1" s="660"/>
      <c r="C1" s="660"/>
      <c r="D1" s="660"/>
      <c r="E1" s="660"/>
      <c r="F1" s="660"/>
      <c r="G1" s="660"/>
      <c r="H1" s="660"/>
      <c r="I1" s="660"/>
    </row>
    <row r="2" spans="1:9" ht="18.7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</row>
    <row r="3" spans="1:9" ht="18.7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</row>
    <row r="4" spans="1:9" ht="18.75" customHeight="1" x14ac:dyDescent="0.25">
      <c r="A4" s="660"/>
      <c r="B4" s="660"/>
      <c r="C4" s="660"/>
      <c r="D4" s="660"/>
      <c r="E4" s="660"/>
      <c r="F4" s="660"/>
      <c r="G4" s="660"/>
      <c r="H4" s="660"/>
      <c r="I4" s="660"/>
    </row>
    <row r="5" spans="1:9" ht="18.75" customHeight="1" x14ac:dyDescent="0.25">
      <c r="A5" s="660"/>
      <c r="B5" s="660"/>
      <c r="C5" s="660"/>
      <c r="D5" s="660"/>
      <c r="E5" s="660"/>
      <c r="F5" s="660"/>
      <c r="G5" s="660"/>
      <c r="H5" s="660"/>
      <c r="I5" s="660"/>
    </row>
    <row r="6" spans="1:9" ht="18.75" customHeight="1" x14ac:dyDescent="0.25">
      <c r="A6" s="660"/>
      <c r="B6" s="660"/>
      <c r="C6" s="660"/>
      <c r="D6" s="660"/>
      <c r="E6" s="660"/>
      <c r="F6" s="660"/>
      <c r="G6" s="660"/>
      <c r="H6" s="660"/>
      <c r="I6" s="660"/>
    </row>
    <row r="7" spans="1:9" ht="18.75" customHeight="1" x14ac:dyDescent="0.25">
      <c r="A7" s="660"/>
      <c r="B7" s="660"/>
      <c r="C7" s="660"/>
      <c r="D7" s="660"/>
      <c r="E7" s="660"/>
      <c r="F7" s="660"/>
      <c r="G7" s="660"/>
      <c r="H7" s="660"/>
      <c r="I7" s="660"/>
    </row>
    <row r="8" spans="1:9" x14ac:dyDescent="0.25">
      <c r="A8" s="661" t="s">
        <v>46</v>
      </c>
      <c r="B8" s="661"/>
      <c r="C8" s="661"/>
      <c r="D8" s="661"/>
      <c r="E8" s="661"/>
      <c r="F8" s="661"/>
      <c r="G8" s="661"/>
      <c r="H8" s="661"/>
      <c r="I8" s="661"/>
    </row>
    <row r="9" spans="1:9" x14ac:dyDescent="0.25">
      <c r="A9" s="661"/>
      <c r="B9" s="661"/>
      <c r="C9" s="661"/>
      <c r="D9" s="661"/>
      <c r="E9" s="661"/>
      <c r="F9" s="661"/>
      <c r="G9" s="661"/>
      <c r="H9" s="661"/>
      <c r="I9" s="661"/>
    </row>
    <row r="10" spans="1:9" x14ac:dyDescent="0.25">
      <c r="A10" s="661"/>
      <c r="B10" s="661"/>
      <c r="C10" s="661"/>
      <c r="D10" s="661"/>
      <c r="E10" s="661"/>
      <c r="F10" s="661"/>
      <c r="G10" s="661"/>
      <c r="H10" s="661"/>
      <c r="I10" s="661"/>
    </row>
    <row r="11" spans="1:9" x14ac:dyDescent="0.25">
      <c r="A11" s="661"/>
      <c r="B11" s="661"/>
      <c r="C11" s="661"/>
      <c r="D11" s="661"/>
      <c r="E11" s="661"/>
      <c r="F11" s="661"/>
      <c r="G11" s="661"/>
      <c r="H11" s="661"/>
      <c r="I11" s="661"/>
    </row>
    <row r="12" spans="1:9" x14ac:dyDescent="0.25">
      <c r="A12" s="661"/>
      <c r="B12" s="661"/>
      <c r="C12" s="661"/>
      <c r="D12" s="661"/>
      <c r="E12" s="661"/>
      <c r="F12" s="661"/>
      <c r="G12" s="661"/>
      <c r="H12" s="661"/>
      <c r="I12" s="661"/>
    </row>
    <row r="13" spans="1:9" x14ac:dyDescent="0.25">
      <c r="A13" s="661"/>
      <c r="B13" s="661"/>
      <c r="C13" s="661"/>
      <c r="D13" s="661"/>
      <c r="E13" s="661"/>
      <c r="F13" s="661"/>
      <c r="G13" s="661"/>
      <c r="H13" s="661"/>
      <c r="I13" s="661"/>
    </row>
    <row r="14" spans="1:9" x14ac:dyDescent="0.25">
      <c r="A14" s="661"/>
      <c r="B14" s="661"/>
      <c r="C14" s="661"/>
      <c r="D14" s="661"/>
      <c r="E14" s="661"/>
      <c r="F14" s="661"/>
      <c r="G14" s="661"/>
      <c r="H14" s="661"/>
      <c r="I14" s="661"/>
    </row>
    <row r="15" spans="1:9" ht="19.5" customHeight="1" thickBot="1" x14ac:dyDescent="0.35">
      <c r="A15" s="283"/>
    </row>
    <row r="16" spans="1:9" ht="19.5" customHeight="1" thickBot="1" x14ac:dyDescent="0.35">
      <c r="A16" s="662" t="s">
        <v>31</v>
      </c>
      <c r="B16" s="663"/>
      <c r="C16" s="663"/>
      <c r="D16" s="663"/>
      <c r="E16" s="663"/>
      <c r="F16" s="663"/>
      <c r="G16" s="663"/>
      <c r="H16" s="664"/>
    </row>
    <row r="17" spans="1:14" ht="20.25" customHeight="1" x14ac:dyDescent="0.25">
      <c r="A17" s="665" t="s">
        <v>47</v>
      </c>
      <c r="B17" s="665"/>
      <c r="C17" s="665"/>
      <c r="D17" s="665"/>
      <c r="E17" s="665"/>
      <c r="F17" s="665"/>
      <c r="G17" s="665"/>
      <c r="H17" s="665"/>
    </row>
    <row r="18" spans="1:14" ht="26.25" customHeight="1" x14ac:dyDescent="0.4">
      <c r="A18" s="284" t="s">
        <v>33</v>
      </c>
      <c r="B18" s="666" t="s">
        <v>131</v>
      </c>
      <c r="C18" s="666"/>
      <c r="D18" s="285"/>
      <c r="E18" s="286"/>
      <c r="F18" s="287"/>
      <c r="G18" s="287"/>
      <c r="H18" s="287"/>
    </row>
    <row r="19" spans="1:14" ht="26.25" customHeight="1" x14ac:dyDescent="0.4">
      <c r="A19" s="284" t="s">
        <v>34</v>
      </c>
      <c r="B19" s="288" t="s">
        <v>135</v>
      </c>
      <c r="C19" s="287">
        <v>1</v>
      </c>
      <c r="D19" s="287"/>
      <c r="E19" s="287"/>
      <c r="F19" s="287"/>
      <c r="G19" s="287"/>
      <c r="H19" s="287"/>
    </row>
    <row r="20" spans="1:14" ht="26.25" customHeight="1" x14ac:dyDescent="0.4">
      <c r="A20" s="284" t="s">
        <v>35</v>
      </c>
      <c r="B20" s="667" t="s">
        <v>136</v>
      </c>
      <c r="C20" s="667"/>
      <c r="D20" s="287"/>
      <c r="E20" s="287"/>
      <c r="F20" s="287"/>
      <c r="G20" s="287"/>
      <c r="H20" s="287"/>
    </row>
    <row r="21" spans="1:14" ht="26.25" customHeight="1" x14ac:dyDescent="0.4">
      <c r="A21" s="284" t="s">
        <v>36</v>
      </c>
      <c r="B21" s="667" t="s">
        <v>137</v>
      </c>
      <c r="C21" s="667"/>
      <c r="D21" s="667"/>
      <c r="E21" s="667"/>
      <c r="F21" s="667"/>
      <c r="G21" s="667"/>
      <c r="H21" s="667"/>
      <c r="I21" s="289"/>
    </row>
    <row r="22" spans="1:14" ht="26.25" customHeight="1" x14ac:dyDescent="0.4">
      <c r="A22" s="284" t="s">
        <v>37</v>
      </c>
      <c r="B22" s="290" t="s">
        <v>133</v>
      </c>
      <c r="C22" s="287"/>
      <c r="D22" s="287"/>
      <c r="E22" s="287"/>
      <c r="F22" s="287"/>
      <c r="G22" s="287"/>
      <c r="H22" s="287"/>
    </row>
    <row r="23" spans="1:14" ht="26.25" customHeight="1" x14ac:dyDescent="0.4">
      <c r="A23" s="284" t="s">
        <v>38</v>
      </c>
      <c r="B23" s="290">
        <v>42762</v>
      </c>
      <c r="C23" s="287"/>
      <c r="D23" s="287"/>
      <c r="E23" s="287"/>
      <c r="F23" s="287"/>
      <c r="G23" s="287"/>
      <c r="H23" s="287"/>
    </row>
    <row r="24" spans="1:14" ht="18.75" x14ac:dyDescent="0.3">
      <c r="A24" s="284"/>
      <c r="B24" s="291"/>
    </row>
    <row r="25" spans="1:14" ht="18.75" x14ac:dyDescent="0.3">
      <c r="A25" s="292" t="s">
        <v>1</v>
      </c>
      <c r="B25" s="291"/>
    </row>
    <row r="26" spans="1:14" ht="26.25" customHeight="1" x14ac:dyDescent="0.4">
      <c r="A26" s="293" t="s">
        <v>4</v>
      </c>
      <c r="B26" s="666" t="s">
        <v>138</v>
      </c>
      <c r="C26" s="666"/>
    </row>
    <row r="27" spans="1:14" ht="26.25" customHeight="1" x14ac:dyDescent="0.4">
      <c r="A27" s="294" t="s">
        <v>48</v>
      </c>
      <c r="B27" s="668" t="s">
        <v>139</v>
      </c>
      <c r="C27" s="668"/>
    </row>
    <row r="28" spans="1:14" ht="27" customHeight="1" thickBot="1" x14ac:dyDescent="0.45">
      <c r="A28" s="294" t="s">
        <v>6</v>
      </c>
      <c r="B28" s="295">
        <v>98.8</v>
      </c>
    </row>
    <row r="29" spans="1:14" s="297" customFormat="1" ht="27" customHeight="1" thickBot="1" x14ac:dyDescent="0.45">
      <c r="A29" s="294" t="s">
        <v>49</v>
      </c>
      <c r="B29" s="296">
        <v>0</v>
      </c>
      <c r="C29" s="669" t="s">
        <v>50</v>
      </c>
      <c r="D29" s="670"/>
      <c r="E29" s="670"/>
      <c r="F29" s="670"/>
      <c r="G29" s="671"/>
      <c r="I29" s="298"/>
      <c r="J29" s="298"/>
      <c r="K29" s="298"/>
      <c r="L29" s="298"/>
    </row>
    <row r="30" spans="1:14" s="297" customFormat="1" ht="19.5" customHeight="1" thickBot="1" x14ac:dyDescent="0.35">
      <c r="A30" s="294" t="s">
        <v>51</v>
      </c>
      <c r="B30" s="299">
        <f>B28-B29</f>
        <v>98.8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297" customFormat="1" ht="27" customHeight="1" thickBot="1" x14ac:dyDescent="0.45">
      <c r="A31" s="294" t="s">
        <v>52</v>
      </c>
      <c r="B31" s="302">
        <v>1</v>
      </c>
      <c r="C31" s="657" t="s">
        <v>53</v>
      </c>
      <c r="D31" s="658"/>
      <c r="E31" s="658"/>
      <c r="F31" s="658"/>
      <c r="G31" s="658"/>
      <c r="H31" s="659"/>
      <c r="I31" s="298"/>
      <c r="J31" s="298"/>
      <c r="K31" s="298"/>
      <c r="L31" s="298"/>
    </row>
    <row r="32" spans="1:14" s="297" customFormat="1" ht="27" customHeight="1" thickBot="1" x14ac:dyDescent="0.45">
      <c r="A32" s="294" t="s">
        <v>54</v>
      </c>
      <c r="B32" s="302">
        <v>1</v>
      </c>
      <c r="C32" s="657" t="s">
        <v>55</v>
      </c>
      <c r="D32" s="658"/>
      <c r="E32" s="658"/>
      <c r="F32" s="658"/>
      <c r="G32" s="658"/>
      <c r="H32" s="659"/>
      <c r="I32" s="298"/>
      <c r="J32" s="298"/>
      <c r="K32" s="298"/>
      <c r="L32" s="303"/>
      <c r="M32" s="303"/>
      <c r="N32" s="304"/>
    </row>
    <row r="33" spans="1:14" s="297" customFormat="1" ht="17.25" customHeight="1" x14ac:dyDescent="0.3">
      <c r="A33" s="294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297" customFormat="1" ht="18.75" x14ac:dyDescent="0.3">
      <c r="A34" s="294" t="s">
        <v>56</v>
      </c>
      <c r="B34" s="307">
        <f>B31/B32</f>
        <v>1</v>
      </c>
      <c r="C34" s="283" t="s">
        <v>57</v>
      </c>
      <c r="D34" s="283"/>
      <c r="E34" s="283"/>
      <c r="F34" s="283"/>
      <c r="G34" s="283"/>
      <c r="I34" s="298"/>
      <c r="J34" s="298"/>
      <c r="K34" s="298"/>
      <c r="L34" s="303"/>
      <c r="M34" s="303"/>
      <c r="N34" s="304"/>
    </row>
    <row r="35" spans="1:14" s="297" customFormat="1" ht="19.5" customHeight="1" thickBot="1" x14ac:dyDescent="0.35">
      <c r="A35" s="294"/>
      <c r="B35" s="299"/>
      <c r="G35" s="283"/>
      <c r="I35" s="298"/>
      <c r="J35" s="298"/>
      <c r="K35" s="298"/>
      <c r="L35" s="303"/>
      <c r="M35" s="303"/>
      <c r="N35" s="304"/>
    </row>
    <row r="36" spans="1:14" s="297" customFormat="1" ht="27" customHeight="1" thickBot="1" x14ac:dyDescent="0.45">
      <c r="A36" s="308" t="s">
        <v>58</v>
      </c>
      <c r="B36" s="309">
        <v>50</v>
      </c>
      <c r="C36" s="283"/>
      <c r="D36" s="673" t="s">
        <v>59</v>
      </c>
      <c r="E36" s="674"/>
      <c r="F36" s="673" t="s">
        <v>60</v>
      </c>
      <c r="G36" s="675"/>
      <c r="J36" s="298"/>
      <c r="K36" s="298"/>
      <c r="L36" s="303"/>
      <c r="M36" s="303"/>
      <c r="N36" s="304"/>
    </row>
    <row r="37" spans="1:14" s="297" customFormat="1" ht="27" customHeight="1" thickBot="1" x14ac:dyDescent="0.45">
      <c r="A37" s="310" t="s">
        <v>61</v>
      </c>
      <c r="B37" s="311">
        <v>10</v>
      </c>
      <c r="C37" s="312" t="s">
        <v>62</v>
      </c>
      <c r="D37" s="313" t="s">
        <v>63</v>
      </c>
      <c r="E37" s="314" t="s">
        <v>64</v>
      </c>
      <c r="F37" s="313" t="s">
        <v>63</v>
      </c>
      <c r="G37" s="315" t="s">
        <v>64</v>
      </c>
      <c r="I37" s="316" t="s">
        <v>65</v>
      </c>
      <c r="J37" s="298"/>
      <c r="K37" s="298"/>
      <c r="L37" s="303"/>
      <c r="M37" s="303"/>
      <c r="N37" s="304"/>
    </row>
    <row r="38" spans="1:14" s="297" customFormat="1" ht="26.25" customHeight="1" x14ac:dyDescent="0.4">
      <c r="A38" s="310" t="s">
        <v>66</v>
      </c>
      <c r="B38" s="311">
        <v>25</v>
      </c>
      <c r="C38" s="317">
        <v>1</v>
      </c>
      <c r="D38" s="318">
        <v>12238309</v>
      </c>
      <c r="E38" s="319">
        <f>IF(ISBLANK(D38),"-",$D$48/$D$45*D38)</f>
        <v>13038897.293841895</v>
      </c>
      <c r="F38" s="318">
        <v>12871006</v>
      </c>
      <c r="G38" s="320">
        <f>IF(ISBLANK(F38),"-",$D$48/$F$45*F38)</f>
        <v>13097185.664977044</v>
      </c>
      <c r="I38" s="321"/>
      <c r="J38" s="298"/>
      <c r="K38" s="298"/>
      <c r="L38" s="303"/>
      <c r="M38" s="303"/>
      <c r="N38" s="304"/>
    </row>
    <row r="39" spans="1:14" s="297" customFormat="1" ht="26.25" customHeight="1" x14ac:dyDescent="0.4">
      <c r="A39" s="310" t="s">
        <v>67</v>
      </c>
      <c r="B39" s="311">
        <v>1</v>
      </c>
      <c r="C39" s="322">
        <v>2</v>
      </c>
      <c r="D39" s="323">
        <v>12244061</v>
      </c>
      <c r="E39" s="324">
        <f>IF(ISBLANK(D39),"-",$D$48/$D$45*D39)</f>
        <v>13045025.569997871</v>
      </c>
      <c r="F39" s="323">
        <v>12894500</v>
      </c>
      <c r="G39" s="325">
        <f>IF(ISBLANK(F39),"-",$D$48/$F$45*F39)</f>
        <v>13121092.520432862</v>
      </c>
      <c r="I39" s="676">
        <f>ABS((F43/D43*D42)-F42)/D42</f>
        <v>2.9046621659336146E-3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68</v>
      </c>
      <c r="B40" s="311">
        <v>1</v>
      </c>
      <c r="C40" s="322">
        <v>3</v>
      </c>
      <c r="D40" s="323">
        <v>12306469</v>
      </c>
      <c r="E40" s="324">
        <f>IF(ISBLANK(D40),"-",$D$48/$D$45*D40)</f>
        <v>13111516.087790327</v>
      </c>
      <c r="F40" s="323">
        <v>12859913</v>
      </c>
      <c r="G40" s="325">
        <f>IF(ISBLANK(F40),"-",$D$48/$F$45*F40)</f>
        <v>13085897.729862913</v>
      </c>
      <c r="I40" s="676"/>
      <c r="L40" s="303"/>
      <c r="M40" s="303"/>
      <c r="N40" s="283"/>
    </row>
    <row r="41" spans="1:14" ht="27" customHeight="1" thickBot="1" x14ac:dyDescent="0.45">
      <c r="A41" s="310" t="s">
        <v>69</v>
      </c>
      <c r="B41" s="311">
        <v>1</v>
      </c>
      <c r="C41" s="326">
        <v>4</v>
      </c>
      <c r="D41" s="327"/>
      <c r="E41" s="328" t="str">
        <f>IF(ISBLANK(D41),"-",$D$48/$D$45*D41)</f>
        <v>-</v>
      </c>
      <c r="F41" s="327"/>
      <c r="G41" s="329" t="str">
        <f>IF(ISBLANK(F41),"-",$D$48/$F$45*F41)</f>
        <v>-</v>
      </c>
      <c r="I41" s="330"/>
      <c r="L41" s="303"/>
      <c r="M41" s="303"/>
      <c r="N41" s="283"/>
    </row>
    <row r="42" spans="1:14" ht="27" customHeight="1" thickBot="1" x14ac:dyDescent="0.45">
      <c r="A42" s="310" t="s">
        <v>70</v>
      </c>
      <c r="B42" s="311">
        <v>1</v>
      </c>
      <c r="C42" s="331" t="s">
        <v>71</v>
      </c>
      <c r="D42" s="332">
        <f>AVERAGE(D38:D41)</f>
        <v>12262946.333333334</v>
      </c>
      <c r="E42" s="333">
        <f>AVERAGE(E38:E41)</f>
        <v>13065146.317210032</v>
      </c>
      <c r="F42" s="332">
        <f>AVERAGE(F38:F41)</f>
        <v>12875139.666666666</v>
      </c>
      <c r="G42" s="334">
        <f>AVERAGE(G38:G41)</f>
        <v>13101391.971757606</v>
      </c>
      <c r="H42" s="335"/>
    </row>
    <row r="43" spans="1:14" ht="26.25" customHeight="1" x14ac:dyDescent="0.4">
      <c r="A43" s="310" t="s">
        <v>72</v>
      </c>
      <c r="B43" s="311">
        <v>1</v>
      </c>
      <c r="C43" s="336" t="s">
        <v>73</v>
      </c>
      <c r="D43" s="337">
        <v>14.25</v>
      </c>
      <c r="E43" s="283"/>
      <c r="F43" s="337">
        <v>14.92</v>
      </c>
      <c r="H43" s="335"/>
    </row>
    <row r="44" spans="1:14" ht="26.25" customHeight="1" x14ac:dyDescent="0.4">
      <c r="A44" s="310" t="s">
        <v>74</v>
      </c>
      <c r="B44" s="311">
        <v>1</v>
      </c>
      <c r="C44" s="338" t="s">
        <v>75</v>
      </c>
      <c r="D44" s="339">
        <f>D43*$B$34</f>
        <v>14.25</v>
      </c>
      <c r="E44" s="340"/>
      <c r="F44" s="339">
        <f>F43*$B$34</f>
        <v>14.92</v>
      </c>
      <c r="H44" s="335"/>
    </row>
    <row r="45" spans="1:14" ht="19.5" customHeight="1" thickBot="1" x14ac:dyDescent="0.35">
      <c r="A45" s="310" t="s">
        <v>76</v>
      </c>
      <c r="B45" s="322">
        <f>(B44/B43)*(B42/B41)*(B40/B39)*(B38/B37)*B36</f>
        <v>125</v>
      </c>
      <c r="C45" s="338" t="s">
        <v>77</v>
      </c>
      <c r="D45" s="341">
        <f>D44*$B$30/100</f>
        <v>14.078999999999999</v>
      </c>
      <c r="E45" s="342"/>
      <c r="F45" s="341">
        <f>F44*$B$30/100</f>
        <v>14.740959999999999</v>
      </c>
      <c r="H45" s="335"/>
    </row>
    <row r="46" spans="1:14" ht="19.5" customHeight="1" thickBot="1" x14ac:dyDescent="0.35">
      <c r="A46" s="677" t="s">
        <v>78</v>
      </c>
      <c r="B46" s="678"/>
      <c r="C46" s="338" t="s">
        <v>79</v>
      </c>
      <c r="D46" s="343">
        <f>D45/$B$45</f>
        <v>0.112632</v>
      </c>
      <c r="E46" s="344"/>
      <c r="F46" s="345">
        <f>F45/$B$45</f>
        <v>0.11792767999999999</v>
      </c>
      <c r="H46" s="335"/>
    </row>
    <row r="47" spans="1:14" ht="27" customHeight="1" thickBot="1" x14ac:dyDescent="0.45">
      <c r="A47" s="679"/>
      <c r="B47" s="680"/>
      <c r="C47" s="346" t="s">
        <v>80</v>
      </c>
      <c r="D47" s="347">
        <v>0.12</v>
      </c>
      <c r="E47" s="348"/>
      <c r="F47" s="344"/>
      <c r="H47" s="335"/>
    </row>
    <row r="48" spans="1:14" ht="18.75" x14ac:dyDescent="0.3">
      <c r="C48" s="349" t="s">
        <v>81</v>
      </c>
      <c r="D48" s="341">
        <f>D47*$B$45</f>
        <v>15</v>
      </c>
      <c r="F48" s="350"/>
      <c r="H48" s="335"/>
    </row>
    <row r="49" spans="1:12" ht="19.5" customHeight="1" thickBot="1" x14ac:dyDescent="0.35">
      <c r="C49" s="351" t="s">
        <v>82</v>
      </c>
      <c r="D49" s="352">
        <f>D48/B34</f>
        <v>15</v>
      </c>
      <c r="F49" s="350"/>
      <c r="H49" s="335"/>
    </row>
    <row r="50" spans="1:12" ht="18.75" x14ac:dyDescent="0.3">
      <c r="C50" s="308" t="s">
        <v>83</v>
      </c>
      <c r="D50" s="353">
        <f>AVERAGE(E38:E41,G38:G41)</f>
        <v>13083269.14448382</v>
      </c>
      <c r="F50" s="354"/>
      <c r="H50" s="335"/>
    </row>
    <row r="51" spans="1:12" ht="18.75" x14ac:dyDescent="0.3">
      <c r="C51" s="310" t="s">
        <v>84</v>
      </c>
      <c r="D51" s="355">
        <f>STDEV(E38:E41,G38:G41)/D50</f>
        <v>2.6167749854041941E-3</v>
      </c>
      <c r="F51" s="354"/>
      <c r="H51" s="335"/>
    </row>
    <row r="52" spans="1:12" ht="19.5" customHeight="1" thickBot="1" x14ac:dyDescent="0.35">
      <c r="C52" s="356" t="s">
        <v>20</v>
      </c>
      <c r="D52" s="357">
        <f>COUNT(E38:E41,G38:G41)</f>
        <v>6</v>
      </c>
      <c r="F52" s="354"/>
    </row>
    <row r="54" spans="1:12" ht="18.75" x14ac:dyDescent="0.3">
      <c r="A54" s="358" t="s">
        <v>1</v>
      </c>
      <c r="B54" s="359" t="s">
        <v>85</v>
      </c>
    </row>
    <row r="55" spans="1:12" ht="18.75" x14ac:dyDescent="0.3">
      <c r="A55" s="283" t="s">
        <v>86</v>
      </c>
      <c r="B55" s="360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360" t="s">
        <v>87</v>
      </c>
      <c r="B56" s="361">
        <v>300</v>
      </c>
      <c r="C56" s="283" t="str">
        <f>B20</f>
        <v>Lamivudine and Tenofovir Disoproxil Fumarate</v>
      </c>
      <c r="H56" s="340"/>
    </row>
    <row r="57" spans="1:12" ht="18.75" x14ac:dyDescent="0.3">
      <c r="A57" s="360" t="s">
        <v>88</v>
      </c>
      <c r="B57" s="362">
        <f>Uniformity!C46</f>
        <v>1897.8560000000002</v>
      </c>
      <c r="H57" s="340"/>
    </row>
    <row r="58" spans="1:12" ht="19.5" customHeight="1" thickBot="1" x14ac:dyDescent="0.35">
      <c r="H58" s="340"/>
    </row>
    <row r="59" spans="1:12" s="297" customFormat="1" ht="27" customHeight="1" thickBot="1" x14ac:dyDescent="0.45">
      <c r="A59" s="308" t="s">
        <v>89</v>
      </c>
      <c r="B59" s="309">
        <v>200</v>
      </c>
      <c r="C59" s="283"/>
      <c r="D59" s="363" t="s">
        <v>90</v>
      </c>
      <c r="E59" s="364" t="s">
        <v>62</v>
      </c>
      <c r="F59" s="364" t="s">
        <v>63</v>
      </c>
      <c r="G59" s="364" t="s">
        <v>91</v>
      </c>
      <c r="H59" s="312" t="s">
        <v>92</v>
      </c>
      <c r="L59" s="298"/>
    </row>
    <row r="60" spans="1:12" s="297" customFormat="1" ht="26.25" customHeight="1" x14ac:dyDescent="0.4">
      <c r="A60" s="310" t="s">
        <v>93</v>
      </c>
      <c r="B60" s="311">
        <v>4</v>
      </c>
      <c r="C60" s="681" t="s">
        <v>94</v>
      </c>
      <c r="D60" s="684">
        <v>1890.19</v>
      </c>
      <c r="E60" s="365">
        <v>1</v>
      </c>
      <c r="F60" s="366">
        <v>12579136</v>
      </c>
      <c r="G60" s="367">
        <f>IF(ISBLANK(F60),"-",(F60/$D$50*$D$47*$B$68)*($B$57/$D$60))</f>
        <v>289.61002267137371</v>
      </c>
      <c r="H60" s="368">
        <f t="shared" ref="H60:H71" si="0">IF(ISBLANK(F60),"-",(G60/$B$56)*100)</f>
        <v>96.536674223791238</v>
      </c>
      <c r="L60" s="298"/>
    </row>
    <row r="61" spans="1:12" s="297" customFormat="1" ht="26.25" customHeight="1" x14ac:dyDescent="0.4">
      <c r="A61" s="310" t="s">
        <v>95</v>
      </c>
      <c r="B61" s="311">
        <v>50</v>
      </c>
      <c r="C61" s="682"/>
      <c r="D61" s="685"/>
      <c r="E61" s="369">
        <v>2</v>
      </c>
      <c r="F61" s="323">
        <v>12582226</v>
      </c>
      <c r="G61" s="370">
        <f>IF(ISBLANK(F61),"-",(F61/$D$50*$D$47*$B$68)*($B$57/$D$60))</f>
        <v>289.68116388250735</v>
      </c>
      <c r="H61" s="371">
        <f t="shared" si="0"/>
        <v>96.560387960835783</v>
      </c>
      <c r="L61" s="298"/>
    </row>
    <row r="62" spans="1:12" s="297" customFormat="1" ht="26.25" customHeight="1" x14ac:dyDescent="0.4">
      <c r="A62" s="310" t="s">
        <v>96</v>
      </c>
      <c r="B62" s="311">
        <v>1</v>
      </c>
      <c r="C62" s="682"/>
      <c r="D62" s="685"/>
      <c r="E62" s="369">
        <v>3</v>
      </c>
      <c r="F62" s="372">
        <v>12584541</v>
      </c>
      <c r="G62" s="370">
        <f>IF(ISBLANK(F62),"-",(F62/$D$50*$D$47*$B$68)*($B$57/$D$60))</f>
        <v>289.73446223324339</v>
      </c>
      <c r="H62" s="371">
        <f t="shared" si="0"/>
        <v>96.578154077747797</v>
      </c>
      <c r="L62" s="298"/>
    </row>
    <row r="63" spans="1:12" ht="27" customHeight="1" thickBot="1" x14ac:dyDescent="0.45">
      <c r="A63" s="310" t="s">
        <v>97</v>
      </c>
      <c r="B63" s="311">
        <v>1</v>
      </c>
      <c r="C63" s="683"/>
      <c r="D63" s="686"/>
      <c r="E63" s="373">
        <v>4</v>
      </c>
      <c r="F63" s="374"/>
      <c r="G63" s="370" t="str">
        <f>IF(ISBLANK(F63),"-",(F63/$D$50*$D$47*$B$68)*($B$57/$D$60))</f>
        <v>-</v>
      </c>
      <c r="H63" s="371" t="str">
        <f t="shared" si="0"/>
        <v>-</v>
      </c>
    </row>
    <row r="64" spans="1:12" ht="26.25" customHeight="1" x14ac:dyDescent="0.4">
      <c r="A64" s="310" t="s">
        <v>98</v>
      </c>
      <c r="B64" s="311">
        <v>1</v>
      </c>
      <c r="C64" s="681" t="s">
        <v>99</v>
      </c>
      <c r="D64" s="684">
        <v>1789.97</v>
      </c>
      <c r="E64" s="365">
        <v>1</v>
      </c>
      <c r="F64" s="366"/>
      <c r="G64" s="367" t="str">
        <f>IF(ISBLANK(F64),"-",(F64/$D$50*$D$47*$B$68)*($B$57/$D$64))</f>
        <v>-</v>
      </c>
      <c r="H64" s="368" t="str">
        <f t="shared" si="0"/>
        <v>-</v>
      </c>
    </row>
    <row r="65" spans="1:8" ht="26.25" customHeight="1" x14ac:dyDescent="0.4">
      <c r="A65" s="310" t="s">
        <v>100</v>
      </c>
      <c r="B65" s="311">
        <v>1</v>
      </c>
      <c r="C65" s="682"/>
      <c r="D65" s="685"/>
      <c r="E65" s="369">
        <v>2</v>
      </c>
      <c r="F65" s="323"/>
      <c r="G65" s="370" t="str">
        <f>IF(ISBLANK(F65),"-",(F65/$D$50*$D$47*$B$68)*($B$57/$D$64))</f>
        <v>-</v>
      </c>
      <c r="H65" s="371" t="str">
        <f t="shared" si="0"/>
        <v>-</v>
      </c>
    </row>
    <row r="66" spans="1:8" ht="26.25" customHeight="1" x14ac:dyDescent="0.4">
      <c r="A66" s="310" t="s">
        <v>101</v>
      </c>
      <c r="B66" s="311">
        <v>1</v>
      </c>
      <c r="C66" s="682"/>
      <c r="D66" s="685"/>
      <c r="E66" s="369">
        <v>3</v>
      </c>
      <c r="F66" s="323"/>
      <c r="G66" s="370" t="str">
        <f>IF(ISBLANK(F66),"-",(F66/$D$50*$D$47*$B$68)*($B$57/$D$64))</f>
        <v>-</v>
      </c>
      <c r="H66" s="371" t="str">
        <f t="shared" si="0"/>
        <v>-</v>
      </c>
    </row>
    <row r="67" spans="1:8" ht="27" customHeight="1" thickBot="1" x14ac:dyDescent="0.45">
      <c r="A67" s="310" t="s">
        <v>102</v>
      </c>
      <c r="B67" s="311">
        <v>1</v>
      </c>
      <c r="C67" s="683"/>
      <c r="D67" s="686"/>
      <c r="E67" s="373">
        <v>4</v>
      </c>
      <c r="F67" s="374"/>
      <c r="G67" s="375" t="str">
        <f>IF(ISBLANK(F67),"-",(F67/$D$50*$D$47*$B$68)*($B$57/$D$64))</f>
        <v>-</v>
      </c>
      <c r="H67" s="376" t="str">
        <f t="shared" si="0"/>
        <v>-</v>
      </c>
    </row>
    <row r="68" spans="1:8" ht="26.25" customHeight="1" x14ac:dyDescent="0.4">
      <c r="A68" s="310" t="s">
        <v>103</v>
      </c>
      <c r="B68" s="377">
        <f>(B67/B66)*(B65/B64)*(B63/B62)*(B61/B60)*B59</f>
        <v>2500</v>
      </c>
      <c r="C68" s="681" t="s">
        <v>104</v>
      </c>
      <c r="D68" s="684">
        <v>1822.18</v>
      </c>
      <c r="E68" s="365">
        <v>1</v>
      </c>
      <c r="F68" s="366">
        <v>11705123</v>
      </c>
      <c r="G68" s="367">
        <f>IF(ISBLANK(F68),"-",(F68/$D$50*$D$47*$B$68)*($B$57/$D$68))</f>
        <v>279.54578119920762</v>
      </c>
      <c r="H68" s="371">
        <f t="shared" si="0"/>
        <v>93.181927066402537</v>
      </c>
    </row>
    <row r="69" spans="1:8" ht="27" customHeight="1" thickBot="1" x14ac:dyDescent="0.45">
      <c r="A69" s="356" t="s">
        <v>105</v>
      </c>
      <c r="B69" s="378">
        <f>(D47*B68)/B56*B57</f>
        <v>1897.8560000000002</v>
      </c>
      <c r="C69" s="682"/>
      <c r="D69" s="685"/>
      <c r="E69" s="369">
        <v>2</v>
      </c>
      <c r="F69" s="323">
        <v>11733670</v>
      </c>
      <c r="G69" s="370">
        <f>IF(ISBLANK(F69),"-",(F69/$D$50*$D$47*$B$68)*($B$57/$D$68))</f>
        <v>280.22755049081559</v>
      </c>
      <c r="H69" s="371">
        <f t="shared" si="0"/>
        <v>93.409183496938525</v>
      </c>
    </row>
    <row r="70" spans="1:8" ht="26.25" customHeight="1" x14ac:dyDescent="0.4">
      <c r="A70" s="688" t="s">
        <v>78</v>
      </c>
      <c r="B70" s="689"/>
      <c r="C70" s="682"/>
      <c r="D70" s="685"/>
      <c r="E70" s="369">
        <v>3</v>
      </c>
      <c r="F70" s="323">
        <v>11724290</v>
      </c>
      <c r="G70" s="370">
        <f>IF(ISBLANK(F70),"-",(F70/$D$50*$D$47*$B$68)*($B$57/$D$68))</f>
        <v>280.00353409836521</v>
      </c>
      <c r="H70" s="371">
        <f t="shared" si="0"/>
        <v>93.334511366121731</v>
      </c>
    </row>
    <row r="71" spans="1:8" ht="27" customHeight="1" thickBot="1" x14ac:dyDescent="0.45">
      <c r="A71" s="690"/>
      <c r="B71" s="691"/>
      <c r="C71" s="687"/>
      <c r="D71" s="686"/>
      <c r="E71" s="373">
        <v>4</v>
      </c>
      <c r="F71" s="374"/>
      <c r="G71" s="375" t="str">
        <f>IF(ISBLANK(F71),"-",(F71/$D$50*$D$47*$B$68)*($B$57/$D$68))</f>
        <v>-</v>
      </c>
      <c r="H71" s="376" t="str">
        <f t="shared" si="0"/>
        <v>-</v>
      </c>
    </row>
    <row r="72" spans="1:8" ht="26.25" customHeight="1" x14ac:dyDescent="0.4">
      <c r="A72" s="340"/>
      <c r="B72" s="340"/>
      <c r="C72" s="340"/>
      <c r="D72" s="340"/>
      <c r="E72" s="340"/>
      <c r="F72" s="379" t="s">
        <v>71</v>
      </c>
      <c r="G72" s="380">
        <f>AVERAGE(G60:G71)</f>
        <v>284.80041909591881</v>
      </c>
      <c r="H72" s="381">
        <f>AVERAGE(H60:H71)</f>
        <v>94.933473031972937</v>
      </c>
    </row>
    <row r="73" spans="1:8" ht="26.25" customHeight="1" x14ac:dyDescent="0.4">
      <c r="C73" s="340"/>
      <c r="D73" s="340"/>
      <c r="E73" s="340"/>
      <c r="F73" s="382" t="s">
        <v>84</v>
      </c>
      <c r="G73" s="383">
        <f>STDEV(G60:G71)/G72</f>
        <v>1.8766613142991471E-2</v>
      </c>
      <c r="H73" s="383">
        <f>STDEV(H60:H71)/H72</f>
        <v>1.8766613142991502E-2</v>
      </c>
    </row>
    <row r="74" spans="1:8" ht="27" customHeight="1" thickBot="1" x14ac:dyDescent="0.45">
      <c r="A74" s="340"/>
      <c r="B74" s="340"/>
      <c r="C74" s="340"/>
      <c r="D74" s="340"/>
      <c r="E74" s="342"/>
      <c r="F74" s="384" t="s">
        <v>20</v>
      </c>
      <c r="G74" s="385">
        <f>COUNT(G60:G71)</f>
        <v>6</v>
      </c>
      <c r="H74" s="385">
        <f>COUNT(H60:H71)</f>
        <v>6</v>
      </c>
    </row>
    <row r="76" spans="1:8" ht="26.25" customHeight="1" x14ac:dyDescent="0.4">
      <c r="A76" s="293" t="s">
        <v>106</v>
      </c>
      <c r="B76" s="294" t="s">
        <v>107</v>
      </c>
      <c r="C76" s="672" t="str">
        <f>B26</f>
        <v>Tenofovir Disoproxil Fumurate</v>
      </c>
      <c r="D76" s="672"/>
      <c r="E76" s="283" t="s">
        <v>108</v>
      </c>
      <c r="F76" s="283"/>
      <c r="G76" s="386">
        <f>H72</f>
        <v>94.933473031972937</v>
      </c>
      <c r="H76" s="299"/>
    </row>
    <row r="77" spans="1:8" ht="18.75" x14ac:dyDescent="0.3">
      <c r="A77" s="292" t="s">
        <v>109</v>
      </c>
      <c r="B77" s="292" t="s">
        <v>110</v>
      </c>
    </row>
    <row r="78" spans="1:8" ht="18.75" x14ac:dyDescent="0.3">
      <c r="A78" s="292"/>
      <c r="B78" s="292"/>
    </row>
    <row r="79" spans="1:8" ht="26.25" customHeight="1" x14ac:dyDescent="0.4">
      <c r="A79" s="293" t="s">
        <v>4</v>
      </c>
      <c r="B79" s="693" t="str">
        <f>B26</f>
        <v>Tenofovir Disoproxil Fumurate</v>
      </c>
      <c r="C79" s="693"/>
    </row>
    <row r="80" spans="1:8" ht="26.25" customHeight="1" x14ac:dyDescent="0.4">
      <c r="A80" s="294" t="s">
        <v>48</v>
      </c>
      <c r="B80" s="693" t="str">
        <f>B27</f>
        <v>T11-8</v>
      </c>
      <c r="C80" s="693"/>
    </row>
    <row r="81" spans="1:12" ht="27" customHeight="1" thickBot="1" x14ac:dyDescent="0.45">
      <c r="A81" s="294" t="s">
        <v>6</v>
      </c>
      <c r="B81" s="295">
        <f>B28</f>
        <v>98.8</v>
      </c>
    </row>
    <row r="82" spans="1:12" s="297" customFormat="1" ht="27" customHeight="1" thickBot="1" x14ac:dyDescent="0.45">
      <c r="A82" s="294" t="s">
        <v>49</v>
      </c>
      <c r="B82" s="296">
        <v>0</v>
      </c>
      <c r="C82" s="669" t="s">
        <v>50</v>
      </c>
      <c r="D82" s="670"/>
      <c r="E82" s="670"/>
      <c r="F82" s="670"/>
      <c r="G82" s="671"/>
      <c r="I82" s="298"/>
      <c r="J82" s="298"/>
      <c r="K82" s="298"/>
      <c r="L82" s="298"/>
    </row>
    <row r="83" spans="1:12" s="297" customFormat="1" ht="19.5" customHeight="1" thickBot="1" x14ac:dyDescent="0.35">
      <c r="A83" s="294" t="s">
        <v>51</v>
      </c>
      <c r="B83" s="299">
        <f>B81-B82</f>
        <v>98.8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297" customFormat="1" ht="27" customHeight="1" thickBot="1" x14ac:dyDescent="0.45">
      <c r="A84" s="294" t="s">
        <v>52</v>
      </c>
      <c r="B84" s="302">
        <v>1</v>
      </c>
      <c r="C84" s="657" t="s">
        <v>111</v>
      </c>
      <c r="D84" s="658"/>
      <c r="E84" s="658"/>
      <c r="F84" s="658"/>
      <c r="G84" s="658"/>
      <c r="H84" s="659"/>
      <c r="I84" s="298"/>
      <c r="J84" s="298"/>
      <c r="K84" s="298"/>
      <c r="L84" s="298"/>
    </row>
    <row r="85" spans="1:12" s="297" customFormat="1" ht="27" customHeight="1" thickBot="1" x14ac:dyDescent="0.45">
      <c r="A85" s="294" t="s">
        <v>54</v>
      </c>
      <c r="B85" s="302">
        <v>1</v>
      </c>
      <c r="C85" s="657" t="s">
        <v>112</v>
      </c>
      <c r="D85" s="658"/>
      <c r="E85" s="658"/>
      <c r="F85" s="658"/>
      <c r="G85" s="658"/>
      <c r="H85" s="659"/>
      <c r="I85" s="298"/>
      <c r="J85" s="298"/>
      <c r="K85" s="298"/>
      <c r="L85" s="298"/>
    </row>
    <row r="86" spans="1:12" s="297" customFormat="1" ht="18.75" x14ac:dyDescent="0.3">
      <c r="A86" s="294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297" customFormat="1" ht="18.75" x14ac:dyDescent="0.3">
      <c r="A87" s="294" t="s">
        <v>56</v>
      </c>
      <c r="B87" s="307">
        <f>B84/B85</f>
        <v>1</v>
      </c>
      <c r="C87" s="283" t="s">
        <v>57</v>
      </c>
      <c r="D87" s="283"/>
      <c r="E87" s="283"/>
      <c r="F87" s="283"/>
      <c r="G87" s="283"/>
      <c r="I87" s="298"/>
      <c r="J87" s="298"/>
      <c r="K87" s="298"/>
      <c r="L87" s="298"/>
    </row>
    <row r="88" spans="1:12" ht="19.5" customHeight="1" thickBot="1" x14ac:dyDescent="0.35">
      <c r="A88" s="292"/>
      <c r="B88" s="292"/>
    </row>
    <row r="89" spans="1:12" ht="27" customHeight="1" thickBot="1" x14ac:dyDescent="0.45">
      <c r="A89" s="308" t="s">
        <v>58</v>
      </c>
      <c r="B89" s="309">
        <v>50</v>
      </c>
      <c r="D89" s="387" t="s">
        <v>59</v>
      </c>
      <c r="E89" s="388"/>
      <c r="F89" s="673" t="s">
        <v>60</v>
      </c>
      <c r="G89" s="675"/>
    </row>
    <row r="90" spans="1:12" ht="27" customHeight="1" thickBot="1" x14ac:dyDescent="0.45">
      <c r="A90" s="310" t="s">
        <v>61</v>
      </c>
      <c r="B90" s="311">
        <v>1</v>
      </c>
      <c r="C90" s="389" t="s">
        <v>62</v>
      </c>
      <c r="D90" s="313" t="s">
        <v>63</v>
      </c>
      <c r="E90" s="314" t="s">
        <v>64</v>
      </c>
      <c r="F90" s="313" t="s">
        <v>63</v>
      </c>
      <c r="G90" s="390" t="s">
        <v>64</v>
      </c>
      <c r="I90" s="316" t="s">
        <v>65</v>
      </c>
    </row>
    <row r="91" spans="1:12" ht="26.25" customHeight="1" x14ac:dyDescent="0.4">
      <c r="A91" s="310" t="s">
        <v>66</v>
      </c>
      <c r="B91" s="311">
        <v>1</v>
      </c>
      <c r="C91" s="391">
        <v>1</v>
      </c>
      <c r="D91" s="318">
        <v>32849414</v>
      </c>
      <c r="E91" s="319">
        <f>IF(ISBLANK(D91),"-",$D$101/$D$98*D91)</f>
        <v>29668406.963273749</v>
      </c>
      <c r="F91" s="318">
        <v>31200378</v>
      </c>
      <c r="G91" s="320">
        <f>IF(ISBLANK(F91),"-",$D$101/$F$98*F91)</f>
        <v>30248400.344362237</v>
      </c>
      <c r="I91" s="321"/>
    </row>
    <row r="92" spans="1:12" ht="26.25" customHeight="1" x14ac:dyDescent="0.4">
      <c r="A92" s="310" t="s">
        <v>67</v>
      </c>
      <c r="B92" s="311">
        <v>1</v>
      </c>
      <c r="C92" s="340">
        <v>2</v>
      </c>
      <c r="D92" s="323">
        <v>33153178</v>
      </c>
      <c r="E92" s="324">
        <f>IF(ISBLANK(D92),"-",$D$101/$D$98*D92)</f>
        <v>29942755.661633842</v>
      </c>
      <c r="F92" s="323">
        <v>30868602</v>
      </c>
      <c r="G92" s="325">
        <f>IF(ISBLANK(F92),"-",$D$101/$F$98*F92)</f>
        <v>29926747.405649405</v>
      </c>
      <c r="I92" s="676">
        <f>ABS((F96/D96*D95)-F95)/D95</f>
        <v>7.8356898870028877E-3</v>
      </c>
    </row>
    <row r="93" spans="1:12" ht="26.25" customHeight="1" x14ac:dyDescent="0.4">
      <c r="A93" s="310" t="s">
        <v>68</v>
      </c>
      <c r="B93" s="311">
        <v>1</v>
      </c>
      <c r="C93" s="340">
        <v>3</v>
      </c>
      <c r="D93" s="323">
        <v>32878037</v>
      </c>
      <c r="E93" s="324">
        <f>IF(ISBLANK(D93),"-",$D$101/$D$98*D93)</f>
        <v>29694258.225415282</v>
      </c>
      <c r="F93" s="323">
        <v>30821859</v>
      </c>
      <c r="G93" s="325">
        <f>IF(ISBLANK(F93),"-",$D$101/$F$98*F93)</f>
        <v>29881430.61566383</v>
      </c>
      <c r="I93" s="676"/>
    </row>
    <row r="94" spans="1:12" ht="27" customHeight="1" thickBot="1" x14ac:dyDescent="0.45">
      <c r="A94" s="310" t="s">
        <v>69</v>
      </c>
      <c r="B94" s="311">
        <v>1</v>
      </c>
      <c r="C94" s="392">
        <v>4</v>
      </c>
      <c r="D94" s="327"/>
      <c r="E94" s="328" t="str">
        <f>IF(ISBLANK(D94),"-",$D$101/$D$98*D94)</f>
        <v>-</v>
      </c>
      <c r="F94" s="393"/>
      <c r="G94" s="329" t="str">
        <f>IF(ISBLANK(F94),"-",$D$101/$F$98*F94)</f>
        <v>-</v>
      </c>
      <c r="I94" s="330"/>
    </row>
    <row r="95" spans="1:12" ht="27" customHeight="1" thickBot="1" x14ac:dyDescent="0.45">
      <c r="A95" s="310" t="s">
        <v>70</v>
      </c>
      <c r="B95" s="311">
        <v>1</v>
      </c>
      <c r="C95" s="294" t="s">
        <v>71</v>
      </c>
      <c r="D95" s="394">
        <f>AVERAGE(D91:D94)</f>
        <v>32960209.666666668</v>
      </c>
      <c r="E95" s="333">
        <f>AVERAGE(E91:E94)</f>
        <v>29768473.616774291</v>
      </c>
      <c r="F95" s="395">
        <f>AVERAGE(F91:F94)</f>
        <v>30963613</v>
      </c>
      <c r="G95" s="396">
        <f>AVERAGE(G91:G94)</f>
        <v>30018859.455225155</v>
      </c>
    </row>
    <row r="96" spans="1:12" ht="26.25" customHeight="1" x14ac:dyDescent="0.4">
      <c r="A96" s="310" t="s">
        <v>72</v>
      </c>
      <c r="B96" s="295">
        <v>1</v>
      </c>
      <c r="C96" s="397" t="s">
        <v>113</v>
      </c>
      <c r="D96" s="398">
        <v>16.809999999999999</v>
      </c>
      <c r="E96" s="283"/>
      <c r="F96" s="337">
        <v>15.66</v>
      </c>
    </row>
    <row r="97" spans="1:10" ht="26.25" customHeight="1" x14ac:dyDescent="0.4">
      <c r="A97" s="310" t="s">
        <v>74</v>
      </c>
      <c r="B97" s="295">
        <v>1</v>
      </c>
      <c r="C97" s="399" t="s">
        <v>114</v>
      </c>
      <c r="D97" s="400">
        <f>D96*$B$87</f>
        <v>16.809999999999999</v>
      </c>
      <c r="E97" s="340"/>
      <c r="F97" s="339">
        <f>F96*$B$87</f>
        <v>15.66</v>
      </c>
    </row>
    <row r="98" spans="1:10" ht="19.5" customHeight="1" thickBot="1" x14ac:dyDescent="0.35">
      <c r="A98" s="310" t="s">
        <v>76</v>
      </c>
      <c r="B98" s="340">
        <f>(B97/B96)*(B95/B94)*(B93/B92)*(B91/B90)*B89</f>
        <v>50</v>
      </c>
      <c r="C98" s="399" t="s">
        <v>115</v>
      </c>
      <c r="D98" s="401">
        <f>D97*$B$83/100</f>
        <v>16.608279999999997</v>
      </c>
      <c r="E98" s="342"/>
      <c r="F98" s="341">
        <f>F97*$B$83/100</f>
        <v>15.472079999999998</v>
      </c>
    </row>
    <row r="99" spans="1:10" ht="19.5" customHeight="1" thickBot="1" x14ac:dyDescent="0.35">
      <c r="A99" s="677" t="s">
        <v>78</v>
      </c>
      <c r="B99" s="694"/>
      <c r="C99" s="399" t="s">
        <v>116</v>
      </c>
      <c r="D99" s="402">
        <f>D98/$B$98</f>
        <v>0.33216559999999995</v>
      </c>
      <c r="E99" s="342"/>
      <c r="F99" s="345">
        <f>F98/$B$98</f>
        <v>0.30944159999999998</v>
      </c>
      <c r="H99" s="335"/>
    </row>
    <row r="100" spans="1:10" ht="19.5" customHeight="1" thickBot="1" x14ac:dyDescent="0.35">
      <c r="A100" s="679"/>
      <c r="B100" s="695"/>
      <c r="C100" s="399" t="s">
        <v>80</v>
      </c>
      <c r="D100" s="403">
        <f>$B$56/$B$116</f>
        <v>0.3</v>
      </c>
      <c r="F100" s="350"/>
      <c r="G100" s="404"/>
      <c r="H100" s="335"/>
    </row>
    <row r="101" spans="1:10" ht="18.75" x14ac:dyDescent="0.3">
      <c r="C101" s="399" t="s">
        <v>81</v>
      </c>
      <c r="D101" s="400">
        <f>D100*$B$98</f>
        <v>15</v>
      </c>
      <c r="F101" s="350"/>
      <c r="H101" s="335"/>
    </row>
    <row r="102" spans="1:10" ht="19.5" customHeight="1" thickBot="1" x14ac:dyDescent="0.35">
      <c r="C102" s="405" t="s">
        <v>82</v>
      </c>
      <c r="D102" s="406">
        <f>D101/B34</f>
        <v>15</v>
      </c>
      <c r="F102" s="354"/>
      <c r="H102" s="335"/>
      <c r="J102" s="407"/>
    </row>
    <row r="103" spans="1:10" ht="18.75" x14ac:dyDescent="0.3">
      <c r="C103" s="408" t="s">
        <v>117</v>
      </c>
      <c r="D103" s="409">
        <f>AVERAGE(E91:E94,G91:G94)</f>
        <v>29893666.535999719</v>
      </c>
      <c r="F103" s="354"/>
      <c r="G103" s="404"/>
      <c r="H103" s="335"/>
      <c r="J103" s="410"/>
    </row>
    <row r="104" spans="1:10" ht="18.75" x14ac:dyDescent="0.3">
      <c r="C104" s="382" t="s">
        <v>84</v>
      </c>
      <c r="D104" s="411">
        <f>STDEV(E91:E94,G91:G94)/D103</f>
        <v>7.0168572274390021E-3</v>
      </c>
      <c r="F104" s="354"/>
      <c r="H104" s="335"/>
      <c r="J104" s="410"/>
    </row>
    <row r="105" spans="1:10" ht="19.5" customHeight="1" thickBot="1" x14ac:dyDescent="0.35">
      <c r="C105" s="384" t="s">
        <v>20</v>
      </c>
      <c r="D105" s="412">
        <f>COUNT(E91:E94,G91:G94)</f>
        <v>6</v>
      </c>
      <c r="F105" s="354"/>
      <c r="H105" s="335"/>
      <c r="J105" s="410"/>
    </row>
    <row r="106" spans="1:10" ht="19.5" customHeight="1" thickBot="1" x14ac:dyDescent="0.35">
      <c r="A106" s="358"/>
      <c r="B106" s="358"/>
      <c r="C106" s="358"/>
      <c r="D106" s="358"/>
      <c r="E106" s="358"/>
    </row>
    <row r="107" spans="1:10" ht="27" customHeight="1" thickBot="1" x14ac:dyDescent="0.45">
      <c r="A107" s="308" t="s">
        <v>118</v>
      </c>
      <c r="B107" s="309">
        <v>1000</v>
      </c>
      <c r="C107" s="364" t="s">
        <v>119</v>
      </c>
      <c r="D107" s="364" t="s">
        <v>63</v>
      </c>
      <c r="E107" s="364" t="s">
        <v>120</v>
      </c>
      <c r="F107" s="413" t="s">
        <v>121</v>
      </c>
    </row>
    <row r="108" spans="1:10" ht="26.25" customHeight="1" x14ac:dyDescent="0.4">
      <c r="A108" s="310" t="s">
        <v>122</v>
      </c>
      <c r="B108" s="311">
        <v>1</v>
      </c>
      <c r="C108" s="365">
        <v>1</v>
      </c>
      <c r="D108" s="414">
        <v>12110875</v>
      </c>
      <c r="E108" s="415">
        <f t="shared" ref="E108:E113" si="1">IF(ISBLANK(D108),"-",D108/$D$103*$D$100*$B$116)</f>
        <v>121.53954067911377</v>
      </c>
      <c r="F108" s="416">
        <f t="shared" ref="F108:F113" si="2">IF(ISBLANK(D108), "-", (E108/$B$56)*100)</f>
        <v>40.513180226371261</v>
      </c>
    </row>
    <row r="109" spans="1:10" ht="26.25" customHeight="1" x14ac:dyDescent="0.4">
      <c r="A109" s="310" t="s">
        <v>95</v>
      </c>
      <c r="B109" s="311">
        <v>1</v>
      </c>
      <c r="C109" s="369">
        <v>2</v>
      </c>
      <c r="D109" s="417">
        <v>12184296</v>
      </c>
      <c r="E109" s="418">
        <f t="shared" si="1"/>
        <v>122.27636230564374</v>
      </c>
      <c r="F109" s="419">
        <f t="shared" si="2"/>
        <v>40.758787435214586</v>
      </c>
    </row>
    <row r="110" spans="1:10" ht="26.25" customHeight="1" x14ac:dyDescent="0.4">
      <c r="A110" s="310" t="s">
        <v>96</v>
      </c>
      <c r="B110" s="311">
        <v>1</v>
      </c>
      <c r="C110" s="369">
        <v>3</v>
      </c>
      <c r="D110" s="417">
        <v>12189180</v>
      </c>
      <c r="E110" s="418">
        <f t="shared" si="1"/>
        <v>122.32537603228833</v>
      </c>
      <c r="F110" s="419">
        <f t="shared" si="2"/>
        <v>40.775125344096111</v>
      </c>
    </row>
    <row r="111" spans="1:10" ht="26.25" customHeight="1" x14ac:dyDescent="0.4">
      <c r="A111" s="310" t="s">
        <v>97</v>
      </c>
      <c r="B111" s="311">
        <v>1</v>
      </c>
      <c r="C111" s="369">
        <v>4</v>
      </c>
      <c r="D111" s="417">
        <v>12165453</v>
      </c>
      <c r="E111" s="418">
        <f t="shared" si="1"/>
        <v>122.08726204946765</v>
      </c>
      <c r="F111" s="419">
        <f t="shared" si="2"/>
        <v>40.695754016489218</v>
      </c>
    </row>
    <row r="112" spans="1:10" ht="26.25" customHeight="1" x14ac:dyDescent="0.4">
      <c r="A112" s="310" t="s">
        <v>98</v>
      </c>
      <c r="B112" s="311">
        <v>1</v>
      </c>
      <c r="C112" s="369">
        <v>5</v>
      </c>
      <c r="D112" s="417">
        <v>12161984</v>
      </c>
      <c r="E112" s="418">
        <f t="shared" si="1"/>
        <v>122.05244865517403</v>
      </c>
      <c r="F112" s="419">
        <f t="shared" si="2"/>
        <v>40.68414955172468</v>
      </c>
    </row>
    <row r="113" spans="1:10" ht="27" customHeight="1" thickBot="1" x14ac:dyDescent="0.45">
      <c r="A113" s="310" t="s">
        <v>100</v>
      </c>
      <c r="B113" s="311">
        <v>1</v>
      </c>
      <c r="C113" s="373">
        <v>6</v>
      </c>
      <c r="D113" s="420">
        <v>12164121</v>
      </c>
      <c r="E113" s="421">
        <f t="shared" si="1"/>
        <v>122.07389466947369</v>
      </c>
      <c r="F113" s="422">
        <f t="shared" si="2"/>
        <v>40.691298223157894</v>
      </c>
    </row>
    <row r="114" spans="1:10" ht="27" customHeight="1" thickBot="1" x14ac:dyDescent="0.45">
      <c r="A114" s="310" t="s">
        <v>101</v>
      </c>
      <c r="B114" s="311">
        <v>1</v>
      </c>
      <c r="C114" s="423"/>
      <c r="D114" s="340"/>
      <c r="E114" s="283"/>
      <c r="F114" s="419"/>
    </row>
    <row r="115" spans="1:10" ht="26.25" customHeight="1" x14ac:dyDescent="0.4">
      <c r="A115" s="310" t="s">
        <v>102</v>
      </c>
      <c r="B115" s="311">
        <v>1</v>
      </c>
      <c r="C115" s="423"/>
      <c r="D115" s="424" t="s">
        <v>71</v>
      </c>
      <c r="E115" s="425">
        <f>AVERAGE(E108:E113)</f>
        <v>122.05914739852687</v>
      </c>
      <c r="F115" s="426">
        <f>AVERAGE(F108:F113)</f>
        <v>40.68638246617563</v>
      </c>
    </row>
    <row r="116" spans="1:10" ht="27" customHeight="1" thickBot="1" x14ac:dyDescent="0.45">
      <c r="A116" s="310" t="s">
        <v>103</v>
      </c>
      <c r="B116" s="322">
        <f>(B115/B114)*(B113/B112)*(B111/B110)*(B109/B108)*B107</f>
        <v>1000</v>
      </c>
      <c r="C116" s="427"/>
      <c r="D116" s="428" t="s">
        <v>84</v>
      </c>
      <c r="E116" s="383">
        <f>STDEV(E108:E113)/E115</f>
        <v>2.2854802678588778E-3</v>
      </c>
      <c r="F116" s="429">
        <f>STDEV(F108:F113)/F115</f>
        <v>2.2854802678588513E-3</v>
      </c>
      <c r="I116" s="283"/>
    </row>
    <row r="117" spans="1:10" ht="27" customHeight="1" thickBot="1" x14ac:dyDescent="0.45">
      <c r="A117" s="677" t="s">
        <v>78</v>
      </c>
      <c r="B117" s="678"/>
      <c r="C117" s="430"/>
      <c r="D117" s="384" t="s">
        <v>20</v>
      </c>
      <c r="E117" s="431">
        <f>COUNT(E108:E113)</f>
        <v>6</v>
      </c>
      <c r="F117" s="432">
        <f>COUNT(F108:F113)</f>
        <v>6</v>
      </c>
      <c r="I117" s="283"/>
      <c r="J117" s="410"/>
    </row>
    <row r="118" spans="1:10" ht="26.25" customHeight="1" thickBot="1" x14ac:dyDescent="0.35">
      <c r="A118" s="679"/>
      <c r="B118" s="680"/>
      <c r="C118" s="283"/>
      <c r="D118" s="433"/>
      <c r="E118" s="696" t="s">
        <v>123</v>
      </c>
      <c r="F118" s="697"/>
      <c r="G118" s="283"/>
      <c r="H118" s="283"/>
      <c r="I118" s="283"/>
    </row>
    <row r="119" spans="1:10" ht="25.5" customHeight="1" x14ac:dyDescent="0.4">
      <c r="A119" s="434"/>
      <c r="B119" s="306"/>
      <c r="C119" s="283"/>
      <c r="D119" s="428" t="s">
        <v>124</v>
      </c>
      <c r="E119" s="435">
        <f>MIN(E108:E113)</f>
        <v>121.53954067911377</v>
      </c>
      <c r="F119" s="436">
        <f>MIN(F108:F113)</f>
        <v>40.513180226371261</v>
      </c>
      <c r="G119" s="283"/>
      <c r="H119" s="283"/>
      <c r="I119" s="283"/>
    </row>
    <row r="120" spans="1:10" ht="24" customHeight="1" thickBot="1" x14ac:dyDescent="0.45">
      <c r="A120" s="434"/>
      <c r="B120" s="306"/>
      <c r="C120" s="283"/>
      <c r="D120" s="351" t="s">
        <v>125</v>
      </c>
      <c r="E120" s="437">
        <f>MAX(E108:E113)</f>
        <v>122.32537603228833</v>
      </c>
      <c r="F120" s="438">
        <f>MAX(F108:F113)</f>
        <v>40.775125344096111</v>
      </c>
      <c r="G120" s="283"/>
      <c r="H120" s="283"/>
      <c r="I120" s="283"/>
    </row>
    <row r="121" spans="1:10" ht="27" customHeight="1" x14ac:dyDescent="0.3">
      <c r="A121" s="434"/>
      <c r="B121" s="306"/>
      <c r="C121" s="283"/>
      <c r="D121" s="283"/>
      <c r="E121" s="283"/>
      <c r="F121" s="340"/>
      <c r="G121" s="283"/>
      <c r="H121" s="283"/>
      <c r="I121" s="283"/>
    </row>
    <row r="122" spans="1:10" ht="25.5" customHeight="1" x14ac:dyDescent="0.3">
      <c r="A122" s="434"/>
      <c r="B122" s="306"/>
      <c r="C122" s="283"/>
      <c r="D122" s="283"/>
      <c r="E122" s="283"/>
      <c r="F122" s="340"/>
      <c r="G122" s="283"/>
      <c r="H122" s="283"/>
      <c r="I122" s="283"/>
    </row>
    <row r="123" spans="1:10" ht="18.75" x14ac:dyDescent="0.3">
      <c r="A123" s="434"/>
      <c r="B123" s="306"/>
      <c r="C123" s="283"/>
      <c r="D123" s="283"/>
      <c r="E123" s="283"/>
      <c r="F123" s="340"/>
      <c r="G123" s="283"/>
      <c r="H123" s="283"/>
      <c r="I123" s="283"/>
    </row>
    <row r="124" spans="1:10" ht="45.75" customHeight="1" x14ac:dyDescent="0.65">
      <c r="A124" s="293" t="s">
        <v>106</v>
      </c>
      <c r="B124" s="294" t="s">
        <v>126</v>
      </c>
      <c r="C124" s="672" t="str">
        <f>B26</f>
        <v>Tenofovir Disoproxil Fumurate</v>
      </c>
      <c r="D124" s="672"/>
      <c r="E124" s="283" t="s">
        <v>127</v>
      </c>
      <c r="F124" s="283"/>
      <c r="G124" s="439">
        <f>F115</f>
        <v>40.68638246617563</v>
      </c>
      <c r="H124" s="283"/>
      <c r="I124" s="283"/>
    </row>
    <row r="125" spans="1:10" ht="45.75" customHeight="1" x14ac:dyDescent="0.65">
      <c r="A125" s="293"/>
      <c r="B125" s="294" t="s">
        <v>128</v>
      </c>
      <c r="C125" s="294" t="s">
        <v>129</v>
      </c>
      <c r="D125" s="439">
        <f>MIN(F108:F113)</f>
        <v>40.513180226371261</v>
      </c>
      <c r="E125" s="294" t="s">
        <v>130</v>
      </c>
      <c r="F125" s="439">
        <f>MAX(F108:F113)</f>
        <v>40.775125344096111</v>
      </c>
      <c r="G125" s="386"/>
      <c r="H125" s="283"/>
      <c r="I125" s="283"/>
    </row>
    <row r="126" spans="1:10" ht="19.5" customHeight="1" thickBot="1" x14ac:dyDescent="0.35">
      <c r="A126" s="440"/>
      <c r="B126" s="440"/>
      <c r="C126" s="441"/>
      <c r="D126" s="441"/>
      <c r="E126" s="441"/>
      <c r="F126" s="441"/>
      <c r="G126" s="441"/>
      <c r="H126" s="441"/>
    </row>
    <row r="127" spans="1:10" ht="18.75" x14ac:dyDescent="0.3">
      <c r="B127" s="692" t="s">
        <v>26</v>
      </c>
      <c r="C127" s="692"/>
      <c r="E127" s="389" t="s">
        <v>27</v>
      </c>
      <c r="F127" s="442"/>
      <c r="G127" s="692" t="s">
        <v>28</v>
      </c>
      <c r="H127" s="692"/>
    </row>
    <row r="128" spans="1:10" ht="69.95" customHeight="1" x14ac:dyDescent="0.3">
      <c r="A128" s="293" t="s">
        <v>29</v>
      </c>
      <c r="B128" s="443"/>
      <c r="C128" s="443"/>
      <c r="E128" s="443"/>
      <c r="F128" s="283"/>
      <c r="G128" s="443"/>
      <c r="H128" s="443"/>
    </row>
    <row r="129" spans="1:9" ht="69.95" customHeight="1" x14ac:dyDescent="0.3">
      <c r="A129" s="293" t="s">
        <v>30</v>
      </c>
      <c r="B129" s="444"/>
      <c r="C129" s="444"/>
      <c r="E129" s="444"/>
      <c r="F129" s="283"/>
      <c r="G129" s="445"/>
      <c r="H129" s="445"/>
    </row>
    <row r="130" spans="1:9" ht="18.75" x14ac:dyDescent="0.3">
      <c r="A130" s="340"/>
      <c r="B130" s="340"/>
      <c r="C130" s="340"/>
      <c r="D130" s="340"/>
      <c r="E130" s="340"/>
      <c r="F130" s="342"/>
      <c r="G130" s="340"/>
      <c r="H130" s="340"/>
      <c r="I130" s="283"/>
    </row>
    <row r="131" spans="1:9" ht="18.75" x14ac:dyDescent="0.3">
      <c r="A131" s="340"/>
      <c r="B131" s="340"/>
      <c r="C131" s="340"/>
      <c r="D131" s="340"/>
      <c r="E131" s="340"/>
      <c r="F131" s="342"/>
      <c r="G131" s="340"/>
      <c r="H131" s="340"/>
      <c r="I131" s="283"/>
    </row>
    <row r="132" spans="1:9" ht="18.75" x14ac:dyDescent="0.3">
      <c r="A132" s="340"/>
      <c r="B132" s="340"/>
      <c r="C132" s="340"/>
      <c r="D132" s="340"/>
      <c r="E132" s="340"/>
      <c r="F132" s="342"/>
      <c r="G132" s="340"/>
      <c r="H132" s="340"/>
      <c r="I132" s="283"/>
    </row>
    <row r="133" spans="1:9" ht="18.75" x14ac:dyDescent="0.3">
      <c r="A133" s="340"/>
      <c r="B133" s="340"/>
      <c r="C133" s="340"/>
      <c r="D133" s="340"/>
      <c r="E133" s="340"/>
      <c r="F133" s="342"/>
      <c r="G133" s="340"/>
      <c r="H133" s="340"/>
      <c r="I133" s="283"/>
    </row>
    <row r="134" spans="1:9" ht="18.75" x14ac:dyDescent="0.3">
      <c r="A134" s="340"/>
      <c r="B134" s="340"/>
      <c r="C134" s="340"/>
      <c r="D134" s="340"/>
      <c r="E134" s="340"/>
      <c r="F134" s="342"/>
      <c r="G134" s="340"/>
      <c r="H134" s="340"/>
      <c r="I134" s="283"/>
    </row>
    <row r="135" spans="1:9" ht="18.75" x14ac:dyDescent="0.3">
      <c r="A135" s="340"/>
      <c r="B135" s="340"/>
      <c r="C135" s="340"/>
      <c r="D135" s="340"/>
      <c r="E135" s="340"/>
      <c r="F135" s="342"/>
      <c r="G135" s="340"/>
      <c r="H135" s="340"/>
      <c r="I135" s="283"/>
    </row>
    <row r="136" spans="1:9" ht="18.75" x14ac:dyDescent="0.3">
      <c r="A136" s="340"/>
      <c r="B136" s="340"/>
      <c r="C136" s="340"/>
      <c r="D136" s="340"/>
      <c r="E136" s="340"/>
      <c r="F136" s="342"/>
      <c r="G136" s="340"/>
      <c r="H136" s="340"/>
      <c r="I136" s="283"/>
    </row>
    <row r="137" spans="1:9" ht="18.75" x14ac:dyDescent="0.3">
      <c r="A137" s="340"/>
      <c r="B137" s="340"/>
      <c r="C137" s="340"/>
      <c r="D137" s="340"/>
      <c r="E137" s="340"/>
      <c r="F137" s="342"/>
      <c r="G137" s="340"/>
      <c r="H137" s="340"/>
      <c r="I137" s="283"/>
    </row>
    <row r="138" spans="1:9" ht="18.75" x14ac:dyDescent="0.3">
      <c r="A138" s="340"/>
      <c r="B138" s="340"/>
      <c r="C138" s="340"/>
      <c r="D138" s="340"/>
      <c r="E138" s="340"/>
      <c r="F138" s="342"/>
      <c r="G138" s="340"/>
      <c r="H138" s="340"/>
      <c r="I138" s="283"/>
    </row>
    <row r="250" spans="1:1" x14ac:dyDescent="0.25">
      <c r="A250" s="281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1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7" zoomScale="48" zoomScaleNormal="40" zoomScalePageLayoutView="48" workbookViewId="0">
      <selection activeCell="F91" sqref="F91:F93"/>
    </sheetView>
  </sheetViews>
  <sheetFormatPr defaultColWidth="9.140625" defaultRowHeight="13.5" x14ac:dyDescent="0.25"/>
  <cols>
    <col min="1" max="1" width="55.42578125" style="446" customWidth="1"/>
    <col min="2" max="2" width="33.7109375" style="446" customWidth="1"/>
    <col min="3" max="3" width="42.28515625" style="446" customWidth="1"/>
    <col min="4" max="4" width="30.5703125" style="446" customWidth="1"/>
    <col min="5" max="5" width="39.85546875" style="446" customWidth="1"/>
    <col min="6" max="6" width="30.7109375" style="446" customWidth="1"/>
    <col min="7" max="7" width="39.85546875" style="446" customWidth="1"/>
    <col min="8" max="8" width="30" style="446" customWidth="1"/>
    <col min="9" max="9" width="30.28515625" style="446" hidden="1" customWidth="1"/>
    <col min="10" max="10" width="30.42578125" style="446" customWidth="1"/>
    <col min="11" max="11" width="21.28515625" style="446" customWidth="1"/>
    <col min="12" max="12" width="9.140625" style="446"/>
    <col min="13" max="16384" width="9.140625" style="447"/>
  </cols>
  <sheetData>
    <row r="1" spans="1:9" ht="18.75" customHeight="1" x14ac:dyDescent="0.25">
      <c r="A1" s="701" t="s">
        <v>45</v>
      </c>
      <c r="B1" s="701"/>
      <c r="C1" s="701"/>
      <c r="D1" s="701"/>
      <c r="E1" s="701"/>
      <c r="F1" s="701"/>
      <c r="G1" s="701"/>
      <c r="H1" s="701"/>
      <c r="I1" s="701"/>
    </row>
    <row r="2" spans="1:9" ht="18.75" customHeight="1" x14ac:dyDescent="0.25">
      <c r="A2" s="701"/>
      <c r="B2" s="701"/>
      <c r="C2" s="701"/>
      <c r="D2" s="701"/>
      <c r="E2" s="701"/>
      <c r="F2" s="701"/>
      <c r="G2" s="701"/>
      <c r="H2" s="701"/>
      <c r="I2" s="701"/>
    </row>
    <row r="3" spans="1:9" ht="18.75" customHeight="1" x14ac:dyDescent="0.25">
      <c r="A3" s="701"/>
      <c r="B3" s="701"/>
      <c r="C3" s="701"/>
      <c r="D3" s="701"/>
      <c r="E3" s="701"/>
      <c r="F3" s="701"/>
      <c r="G3" s="701"/>
      <c r="H3" s="701"/>
      <c r="I3" s="701"/>
    </row>
    <row r="4" spans="1:9" ht="18.75" customHeight="1" x14ac:dyDescent="0.25">
      <c r="A4" s="701"/>
      <c r="B4" s="701"/>
      <c r="C4" s="701"/>
      <c r="D4" s="701"/>
      <c r="E4" s="701"/>
      <c r="F4" s="701"/>
      <c r="G4" s="701"/>
      <c r="H4" s="701"/>
      <c r="I4" s="701"/>
    </row>
    <row r="5" spans="1:9" ht="18.75" customHeight="1" x14ac:dyDescent="0.25">
      <c r="A5" s="701"/>
      <c r="B5" s="701"/>
      <c r="C5" s="701"/>
      <c r="D5" s="701"/>
      <c r="E5" s="701"/>
      <c r="F5" s="701"/>
      <c r="G5" s="701"/>
      <c r="H5" s="701"/>
      <c r="I5" s="701"/>
    </row>
    <row r="6" spans="1:9" ht="18.75" customHeight="1" x14ac:dyDescent="0.25">
      <c r="A6" s="701"/>
      <c r="B6" s="701"/>
      <c r="C6" s="701"/>
      <c r="D6" s="701"/>
      <c r="E6" s="701"/>
      <c r="F6" s="701"/>
      <c r="G6" s="701"/>
      <c r="H6" s="701"/>
      <c r="I6" s="701"/>
    </row>
    <row r="7" spans="1:9" ht="18.75" customHeight="1" x14ac:dyDescent="0.25">
      <c r="A7" s="701"/>
      <c r="B7" s="701"/>
      <c r="C7" s="701"/>
      <c r="D7" s="701"/>
      <c r="E7" s="701"/>
      <c r="F7" s="701"/>
      <c r="G7" s="701"/>
      <c r="H7" s="701"/>
      <c r="I7" s="701"/>
    </row>
    <row r="8" spans="1:9" x14ac:dyDescent="0.25">
      <c r="A8" s="702" t="s">
        <v>46</v>
      </c>
      <c r="B8" s="702"/>
      <c r="C8" s="702"/>
      <c r="D8" s="702"/>
      <c r="E8" s="702"/>
      <c r="F8" s="702"/>
      <c r="G8" s="702"/>
      <c r="H8" s="702"/>
      <c r="I8" s="702"/>
    </row>
    <row r="9" spans="1:9" x14ac:dyDescent="0.25">
      <c r="A9" s="702"/>
      <c r="B9" s="702"/>
      <c r="C9" s="702"/>
      <c r="D9" s="702"/>
      <c r="E9" s="702"/>
      <c r="F9" s="702"/>
      <c r="G9" s="702"/>
      <c r="H9" s="702"/>
      <c r="I9" s="702"/>
    </row>
    <row r="10" spans="1:9" x14ac:dyDescent="0.25">
      <c r="A10" s="702"/>
      <c r="B10" s="702"/>
      <c r="C10" s="702"/>
      <c r="D10" s="702"/>
      <c r="E10" s="702"/>
      <c r="F10" s="702"/>
      <c r="G10" s="702"/>
      <c r="H10" s="702"/>
      <c r="I10" s="702"/>
    </row>
    <row r="11" spans="1:9" x14ac:dyDescent="0.25">
      <c r="A11" s="702"/>
      <c r="B11" s="702"/>
      <c r="C11" s="702"/>
      <c r="D11" s="702"/>
      <c r="E11" s="702"/>
      <c r="F11" s="702"/>
      <c r="G11" s="702"/>
      <c r="H11" s="702"/>
      <c r="I11" s="702"/>
    </row>
    <row r="12" spans="1:9" x14ac:dyDescent="0.25">
      <c r="A12" s="702"/>
      <c r="B12" s="702"/>
      <c r="C12" s="702"/>
      <c r="D12" s="702"/>
      <c r="E12" s="702"/>
      <c r="F12" s="702"/>
      <c r="G12" s="702"/>
      <c r="H12" s="702"/>
      <c r="I12" s="702"/>
    </row>
    <row r="13" spans="1:9" x14ac:dyDescent="0.25">
      <c r="A13" s="702"/>
      <c r="B13" s="702"/>
      <c r="C13" s="702"/>
      <c r="D13" s="702"/>
      <c r="E13" s="702"/>
      <c r="F13" s="702"/>
      <c r="G13" s="702"/>
      <c r="H13" s="702"/>
      <c r="I13" s="702"/>
    </row>
    <row r="14" spans="1:9" x14ac:dyDescent="0.25">
      <c r="A14" s="702"/>
      <c r="B14" s="702"/>
      <c r="C14" s="702"/>
      <c r="D14" s="702"/>
      <c r="E14" s="702"/>
      <c r="F14" s="702"/>
      <c r="G14" s="702"/>
      <c r="H14" s="702"/>
      <c r="I14" s="702"/>
    </row>
    <row r="15" spans="1:9" ht="19.5" customHeight="1" thickBot="1" x14ac:dyDescent="0.35">
      <c r="A15" s="448"/>
    </row>
    <row r="16" spans="1:9" ht="19.5" customHeight="1" thickBot="1" x14ac:dyDescent="0.35">
      <c r="A16" s="703" t="s">
        <v>31</v>
      </c>
      <c r="B16" s="704"/>
      <c r="C16" s="704"/>
      <c r="D16" s="704"/>
      <c r="E16" s="704"/>
      <c r="F16" s="704"/>
      <c r="G16" s="704"/>
      <c r="H16" s="705"/>
    </row>
    <row r="17" spans="1:14" ht="20.25" customHeight="1" x14ac:dyDescent="0.25">
      <c r="A17" s="706" t="s">
        <v>47</v>
      </c>
      <c r="B17" s="706"/>
      <c r="C17" s="706"/>
      <c r="D17" s="706"/>
      <c r="E17" s="706"/>
      <c r="F17" s="706"/>
      <c r="G17" s="706"/>
      <c r="H17" s="706"/>
    </row>
    <row r="18" spans="1:14" ht="26.25" customHeight="1" x14ac:dyDescent="0.4">
      <c r="A18" s="449" t="s">
        <v>33</v>
      </c>
      <c r="B18" s="707" t="s">
        <v>131</v>
      </c>
      <c r="C18" s="707"/>
      <c r="D18" s="450"/>
      <c r="E18" s="451"/>
      <c r="F18" s="452"/>
      <c r="G18" s="452"/>
      <c r="H18" s="452"/>
    </row>
    <row r="19" spans="1:14" ht="26.25" customHeight="1" x14ac:dyDescent="0.4">
      <c r="A19" s="449" t="s">
        <v>34</v>
      </c>
      <c r="B19" s="453" t="s">
        <v>140</v>
      </c>
      <c r="C19" s="452">
        <v>1</v>
      </c>
      <c r="D19" s="452"/>
      <c r="E19" s="452"/>
      <c r="F19" s="452"/>
      <c r="G19" s="452"/>
      <c r="H19" s="452"/>
    </row>
    <row r="20" spans="1:14" ht="26.25" customHeight="1" x14ac:dyDescent="0.4">
      <c r="A20" s="449" t="s">
        <v>35</v>
      </c>
      <c r="B20" s="708" t="s">
        <v>136</v>
      </c>
      <c r="C20" s="708"/>
      <c r="D20" s="452"/>
      <c r="E20" s="452"/>
      <c r="F20" s="452"/>
      <c r="G20" s="452"/>
      <c r="H20" s="452"/>
    </row>
    <row r="21" spans="1:14" ht="26.25" customHeight="1" x14ac:dyDescent="0.4">
      <c r="A21" s="449" t="s">
        <v>36</v>
      </c>
      <c r="B21" s="708" t="s">
        <v>137</v>
      </c>
      <c r="C21" s="708"/>
      <c r="D21" s="708"/>
      <c r="E21" s="708"/>
      <c r="F21" s="708"/>
      <c r="G21" s="708"/>
      <c r="H21" s="708"/>
      <c r="I21" s="454"/>
    </row>
    <row r="22" spans="1:14" ht="26.25" customHeight="1" x14ac:dyDescent="0.4">
      <c r="A22" s="449" t="s">
        <v>37</v>
      </c>
      <c r="B22" s="455" t="s">
        <v>133</v>
      </c>
      <c r="C22" s="452"/>
      <c r="D22" s="452"/>
      <c r="E22" s="452"/>
      <c r="F22" s="452"/>
      <c r="G22" s="452"/>
      <c r="H22" s="452"/>
    </row>
    <row r="23" spans="1:14" ht="26.25" customHeight="1" x14ac:dyDescent="0.4">
      <c r="A23" s="449" t="s">
        <v>38</v>
      </c>
      <c r="B23" s="455">
        <v>42762</v>
      </c>
      <c r="C23" s="452"/>
      <c r="D23" s="452"/>
      <c r="E23" s="452"/>
      <c r="F23" s="452"/>
      <c r="G23" s="452"/>
      <c r="H23" s="452"/>
    </row>
    <row r="24" spans="1:14" ht="18.75" x14ac:dyDescent="0.3">
      <c r="A24" s="449"/>
      <c r="B24" s="456"/>
    </row>
    <row r="25" spans="1:14" ht="18.75" x14ac:dyDescent="0.3">
      <c r="A25" s="457" t="s">
        <v>1</v>
      </c>
      <c r="B25" s="456"/>
    </row>
    <row r="26" spans="1:14" ht="26.25" customHeight="1" x14ac:dyDescent="0.4">
      <c r="A26" s="458" t="s">
        <v>4</v>
      </c>
      <c r="B26" s="707" t="s">
        <v>134</v>
      </c>
      <c r="C26" s="707"/>
    </row>
    <row r="27" spans="1:14" ht="26.25" customHeight="1" x14ac:dyDescent="0.4">
      <c r="A27" s="459" t="s">
        <v>48</v>
      </c>
      <c r="B27" s="709" t="s">
        <v>143</v>
      </c>
      <c r="C27" s="709"/>
    </row>
    <row r="28" spans="1:14" ht="27" customHeight="1" thickBot="1" x14ac:dyDescent="0.45">
      <c r="A28" s="459" t="s">
        <v>6</v>
      </c>
      <c r="B28" s="460">
        <v>99.8</v>
      </c>
    </row>
    <row r="29" spans="1:14" s="462" customFormat="1" ht="27" customHeight="1" thickBot="1" x14ac:dyDescent="0.45">
      <c r="A29" s="459" t="s">
        <v>49</v>
      </c>
      <c r="B29" s="461">
        <v>0</v>
      </c>
      <c r="C29" s="710" t="s">
        <v>50</v>
      </c>
      <c r="D29" s="711"/>
      <c r="E29" s="711"/>
      <c r="F29" s="711"/>
      <c r="G29" s="712"/>
      <c r="I29" s="463"/>
      <c r="J29" s="463"/>
      <c r="K29" s="463"/>
      <c r="L29" s="463"/>
    </row>
    <row r="30" spans="1:14" s="462" customFormat="1" ht="19.5" customHeight="1" thickBot="1" x14ac:dyDescent="0.35">
      <c r="A30" s="459" t="s">
        <v>51</v>
      </c>
      <c r="B30" s="464">
        <f>B28-B29</f>
        <v>99.8</v>
      </c>
      <c r="C30" s="465"/>
      <c r="D30" s="465"/>
      <c r="E30" s="465"/>
      <c r="F30" s="465"/>
      <c r="G30" s="466"/>
      <c r="I30" s="463"/>
      <c r="J30" s="463"/>
      <c r="K30" s="463"/>
      <c r="L30" s="463"/>
    </row>
    <row r="31" spans="1:14" s="462" customFormat="1" ht="27" customHeight="1" thickBot="1" x14ac:dyDescent="0.45">
      <c r="A31" s="459" t="s">
        <v>52</v>
      </c>
      <c r="B31" s="467">
        <v>1</v>
      </c>
      <c r="C31" s="698" t="s">
        <v>53</v>
      </c>
      <c r="D31" s="699"/>
      <c r="E31" s="699"/>
      <c r="F31" s="699"/>
      <c r="G31" s="699"/>
      <c r="H31" s="700"/>
      <c r="I31" s="463"/>
      <c r="J31" s="463"/>
      <c r="K31" s="463"/>
      <c r="L31" s="463"/>
    </row>
    <row r="32" spans="1:14" s="462" customFormat="1" ht="27" customHeight="1" thickBot="1" x14ac:dyDescent="0.45">
      <c r="A32" s="459" t="s">
        <v>54</v>
      </c>
      <c r="B32" s="467">
        <v>1</v>
      </c>
      <c r="C32" s="698" t="s">
        <v>55</v>
      </c>
      <c r="D32" s="699"/>
      <c r="E32" s="699"/>
      <c r="F32" s="699"/>
      <c r="G32" s="699"/>
      <c r="H32" s="700"/>
      <c r="I32" s="463"/>
      <c r="J32" s="463"/>
      <c r="K32" s="463"/>
      <c r="L32" s="468"/>
      <c r="M32" s="468"/>
      <c r="N32" s="469"/>
    </row>
    <row r="33" spans="1:14" s="462" customFormat="1" ht="17.25" customHeight="1" x14ac:dyDescent="0.3">
      <c r="A33" s="459"/>
      <c r="B33" s="470"/>
      <c r="C33" s="471"/>
      <c r="D33" s="471"/>
      <c r="E33" s="471"/>
      <c r="F33" s="471"/>
      <c r="G33" s="471"/>
      <c r="H33" s="471"/>
      <c r="I33" s="463"/>
      <c r="J33" s="463"/>
      <c r="K33" s="463"/>
      <c r="L33" s="468"/>
      <c r="M33" s="468"/>
      <c r="N33" s="469"/>
    </row>
    <row r="34" spans="1:14" s="462" customFormat="1" ht="18.75" x14ac:dyDescent="0.3">
      <c r="A34" s="459" t="s">
        <v>56</v>
      </c>
      <c r="B34" s="472">
        <f>B31/B32</f>
        <v>1</v>
      </c>
      <c r="C34" s="448" t="s">
        <v>57</v>
      </c>
      <c r="D34" s="448"/>
      <c r="E34" s="448"/>
      <c r="F34" s="448"/>
      <c r="G34" s="448"/>
      <c r="I34" s="463"/>
      <c r="J34" s="463"/>
      <c r="K34" s="463"/>
      <c r="L34" s="468"/>
      <c r="M34" s="468"/>
      <c r="N34" s="469"/>
    </row>
    <row r="35" spans="1:14" s="462" customFormat="1" ht="19.5" customHeight="1" thickBot="1" x14ac:dyDescent="0.35">
      <c r="A35" s="459"/>
      <c r="B35" s="464"/>
      <c r="G35" s="448"/>
      <c r="I35" s="463"/>
      <c r="J35" s="463"/>
      <c r="K35" s="463"/>
      <c r="L35" s="468"/>
      <c r="M35" s="468"/>
      <c r="N35" s="469"/>
    </row>
    <row r="36" spans="1:14" s="462" customFormat="1" ht="27" customHeight="1" thickBot="1" x14ac:dyDescent="0.45">
      <c r="A36" s="473" t="s">
        <v>58</v>
      </c>
      <c r="B36" s="474">
        <v>50</v>
      </c>
      <c r="C36" s="448"/>
      <c r="D36" s="714" t="s">
        <v>59</v>
      </c>
      <c r="E36" s="715"/>
      <c r="F36" s="714" t="s">
        <v>60</v>
      </c>
      <c r="G36" s="716"/>
      <c r="J36" s="463"/>
      <c r="K36" s="463"/>
      <c r="L36" s="468"/>
      <c r="M36" s="468"/>
      <c r="N36" s="469"/>
    </row>
    <row r="37" spans="1:14" s="462" customFormat="1" ht="27" customHeight="1" thickBot="1" x14ac:dyDescent="0.45">
      <c r="A37" s="475" t="s">
        <v>61</v>
      </c>
      <c r="B37" s="476">
        <v>10</v>
      </c>
      <c r="C37" s="477" t="s">
        <v>62</v>
      </c>
      <c r="D37" s="478" t="s">
        <v>63</v>
      </c>
      <c r="E37" s="479" t="s">
        <v>64</v>
      </c>
      <c r="F37" s="478" t="s">
        <v>63</v>
      </c>
      <c r="G37" s="480" t="s">
        <v>64</v>
      </c>
      <c r="I37" s="481" t="s">
        <v>65</v>
      </c>
      <c r="J37" s="463"/>
      <c r="K37" s="463"/>
      <c r="L37" s="468"/>
      <c r="M37" s="468"/>
      <c r="N37" s="469"/>
    </row>
    <row r="38" spans="1:14" s="462" customFormat="1" ht="26.25" customHeight="1" x14ac:dyDescent="0.4">
      <c r="A38" s="475" t="s">
        <v>66</v>
      </c>
      <c r="B38" s="476">
        <v>25</v>
      </c>
      <c r="C38" s="482">
        <v>1</v>
      </c>
      <c r="D38" s="483">
        <v>28064889</v>
      </c>
      <c r="E38" s="484">
        <f>IF(ISBLANK(D38),"-",$D$48/$D$45*D38)</f>
        <v>23421264.238638297</v>
      </c>
      <c r="F38" s="483">
        <v>24358997</v>
      </c>
      <c r="G38" s="485">
        <f>IF(ISBLANK(F38),"-",$D$48/$F$45*F38)</f>
        <v>23743008.390321501</v>
      </c>
      <c r="I38" s="486"/>
      <c r="J38" s="463"/>
      <c r="K38" s="463"/>
      <c r="L38" s="468"/>
      <c r="M38" s="468"/>
      <c r="N38" s="469"/>
    </row>
    <row r="39" spans="1:14" s="462" customFormat="1" ht="26.25" customHeight="1" x14ac:dyDescent="0.4">
      <c r="A39" s="475" t="s">
        <v>67</v>
      </c>
      <c r="B39" s="476">
        <v>1</v>
      </c>
      <c r="C39" s="487">
        <v>2</v>
      </c>
      <c r="D39" s="488">
        <v>27943557</v>
      </c>
      <c r="E39" s="489">
        <f>IF(ISBLANK(D39),"-",$D$48/$D$45*D39)</f>
        <v>23320007.866927635</v>
      </c>
      <c r="F39" s="488">
        <v>24379735</v>
      </c>
      <c r="G39" s="490">
        <f>IF(ISBLANK(F39),"-",$D$48/$F$45*F39)</f>
        <v>23763221.969230291</v>
      </c>
      <c r="I39" s="717">
        <f>ABS((F43/D43*D42)-F42)/D42</f>
        <v>1.2153711417718533E-2</v>
      </c>
      <c r="J39" s="463"/>
      <c r="K39" s="463"/>
      <c r="L39" s="468"/>
      <c r="M39" s="468"/>
      <c r="N39" s="469"/>
    </row>
    <row r="40" spans="1:14" ht="26.25" customHeight="1" x14ac:dyDescent="0.4">
      <c r="A40" s="475" t="s">
        <v>68</v>
      </c>
      <c r="B40" s="476">
        <v>1</v>
      </c>
      <c r="C40" s="487">
        <v>3</v>
      </c>
      <c r="D40" s="488">
        <v>28146270</v>
      </c>
      <c r="E40" s="489">
        <f>IF(ISBLANK(D40),"-",$D$48/$D$45*D40)</f>
        <v>23489179.914520878</v>
      </c>
      <c r="F40" s="488">
        <v>24336571</v>
      </c>
      <c r="G40" s="490">
        <f>IF(ISBLANK(F40),"-",$D$48/$F$45*F40)</f>
        <v>23721149.497438461</v>
      </c>
      <c r="I40" s="717"/>
      <c r="L40" s="468"/>
      <c r="M40" s="468"/>
      <c r="N40" s="448"/>
    </row>
    <row r="41" spans="1:14" ht="27" customHeight="1" thickBot="1" x14ac:dyDescent="0.45">
      <c r="A41" s="475" t="s">
        <v>69</v>
      </c>
      <c r="B41" s="476">
        <v>1</v>
      </c>
      <c r="C41" s="491">
        <v>4</v>
      </c>
      <c r="D41" s="492"/>
      <c r="E41" s="493" t="str">
        <f>IF(ISBLANK(D41),"-",$D$48/$D$45*D41)</f>
        <v>-</v>
      </c>
      <c r="F41" s="492"/>
      <c r="G41" s="494" t="str">
        <f>IF(ISBLANK(F41),"-",$D$48/$F$45*F41)</f>
        <v>-</v>
      </c>
      <c r="I41" s="495"/>
      <c r="L41" s="468"/>
      <c r="M41" s="468"/>
      <c r="N41" s="448"/>
    </row>
    <row r="42" spans="1:14" ht="27" customHeight="1" thickBot="1" x14ac:dyDescent="0.45">
      <c r="A42" s="475" t="s">
        <v>70</v>
      </c>
      <c r="B42" s="476">
        <v>1</v>
      </c>
      <c r="C42" s="496" t="s">
        <v>71</v>
      </c>
      <c r="D42" s="497">
        <f>AVERAGE(D38:D41)</f>
        <v>28051572</v>
      </c>
      <c r="E42" s="498">
        <f>AVERAGE(E38:E41)</f>
        <v>23410150.67336227</v>
      </c>
      <c r="F42" s="497">
        <f>AVERAGE(F38:F41)</f>
        <v>24358434.333333332</v>
      </c>
      <c r="G42" s="499">
        <f>AVERAGE(G38:G41)</f>
        <v>23742459.952330083</v>
      </c>
      <c r="H42" s="500"/>
    </row>
    <row r="43" spans="1:14" ht="26.25" customHeight="1" x14ac:dyDescent="0.4">
      <c r="A43" s="475" t="s">
        <v>72</v>
      </c>
      <c r="B43" s="476">
        <v>1</v>
      </c>
      <c r="C43" s="501" t="s">
        <v>73</v>
      </c>
      <c r="D43" s="502">
        <v>18.010000000000002</v>
      </c>
      <c r="E43" s="448"/>
      <c r="F43" s="502">
        <v>15.42</v>
      </c>
      <c r="H43" s="500"/>
    </row>
    <row r="44" spans="1:14" ht="26.25" customHeight="1" x14ac:dyDescent="0.4">
      <c r="A44" s="475" t="s">
        <v>74</v>
      </c>
      <c r="B44" s="476">
        <v>1</v>
      </c>
      <c r="C44" s="503" t="s">
        <v>75</v>
      </c>
      <c r="D44" s="504">
        <f>D43*$B$34</f>
        <v>18.010000000000002</v>
      </c>
      <c r="E44" s="505"/>
      <c r="F44" s="504">
        <f>F43*$B$34</f>
        <v>15.42</v>
      </c>
      <c r="H44" s="500"/>
    </row>
    <row r="45" spans="1:14" ht="19.5" customHeight="1" thickBot="1" x14ac:dyDescent="0.35">
      <c r="A45" s="475" t="s">
        <v>76</v>
      </c>
      <c r="B45" s="487">
        <f>(B44/B43)*(B42/B41)*(B40/B39)*(B38/B37)*B36</f>
        <v>125</v>
      </c>
      <c r="C45" s="503" t="s">
        <v>77</v>
      </c>
      <c r="D45" s="506">
        <f>D44*$B$30/100</f>
        <v>17.973980000000001</v>
      </c>
      <c r="E45" s="507"/>
      <c r="F45" s="506">
        <f>F44*$B$30/100</f>
        <v>15.389159999999999</v>
      </c>
      <c r="H45" s="500"/>
    </row>
    <row r="46" spans="1:14" ht="19.5" customHeight="1" thickBot="1" x14ac:dyDescent="0.35">
      <c r="A46" s="718" t="s">
        <v>78</v>
      </c>
      <c r="B46" s="719"/>
      <c r="C46" s="503" t="s">
        <v>79</v>
      </c>
      <c r="D46" s="508">
        <f>D45/$B$45</f>
        <v>0.14379184</v>
      </c>
      <c r="E46" s="509"/>
      <c r="F46" s="510">
        <f>F45/$B$45</f>
        <v>0.12311327999999999</v>
      </c>
      <c r="H46" s="500"/>
    </row>
    <row r="47" spans="1:14" ht="27" customHeight="1" thickBot="1" x14ac:dyDescent="0.45">
      <c r="A47" s="720"/>
      <c r="B47" s="721"/>
      <c r="C47" s="511" t="s">
        <v>80</v>
      </c>
      <c r="D47" s="512">
        <v>0.12</v>
      </c>
      <c r="E47" s="513"/>
      <c r="F47" s="509"/>
      <c r="H47" s="500"/>
    </row>
    <row r="48" spans="1:14" ht="18.75" x14ac:dyDescent="0.3">
      <c r="C48" s="514" t="s">
        <v>81</v>
      </c>
      <c r="D48" s="506">
        <f>D47*$B$45</f>
        <v>15</v>
      </c>
      <c r="F48" s="515"/>
      <c r="H48" s="500"/>
    </row>
    <row r="49" spans="1:12" ht="19.5" customHeight="1" thickBot="1" x14ac:dyDescent="0.35">
      <c r="C49" s="516" t="s">
        <v>82</v>
      </c>
      <c r="D49" s="517">
        <f>D48/B34</f>
        <v>15</v>
      </c>
      <c r="F49" s="515"/>
      <c r="H49" s="500"/>
    </row>
    <row r="50" spans="1:12" ht="18.75" x14ac:dyDescent="0.3">
      <c r="C50" s="473" t="s">
        <v>83</v>
      </c>
      <c r="D50" s="518">
        <f>AVERAGE(E38:E41,G38:G41)</f>
        <v>23576305.31284618</v>
      </c>
      <c r="F50" s="519"/>
      <c r="H50" s="500"/>
    </row>
    <row r="51" spans="1:12" ht="18.75" x14ac:dyDescent="0.3">
      <c r="C51" s="475" t="s">
        <v>84</v>
      </c>
      <c r="D51" s="520">
        <f>STDEV(E38:E41,G38:G41)/D50</f>
        <v>8.0706400471492364E-3</v>
      </c>
      <c r="F51" s="519"/>
      <c r="H51" s="500"/>
    </row>
    <row r="52" spans="1:12" ht="19.5" customHeight="1" thickBot="1" x14ac:dyDescent="0.35">
      <c r="C52" s="521" t="s">
        <v>20</v>
      </c>
      <c r="D52" s="522">
        <f>COUNT(E38:E41,G38:G41)</f>
        <v>6</v>
      </c>
      <c r="F52" s="519"/>
    </row>
    <row r="54" spans="1:12" ht="18.75" x14ac:dyDescent="0.3">
      <c r="A54" s="523" t="s">
        <v>1</v>
      </c>
      <c r="B54" s="524" t="s">
        <v>85</v>
      </c>
    </row>
    <row r="55" spans="1:12" ht="18.75" x14ac:dyDescent="0.3">
      <c r="A55" s="448" t="s">
        <v>86</v>
      </c>
      <c r="B55" s="525" t="str">
        <f>B21</f>
        <v>Each film coated tablet contains: Tenofovir Disoproxil Fumarate 300 mg equivalent to Tenofovir Disoproxil 245 mg and Lamivudine USP 300 mg.</v>
      </c>
    </row>
    <row r="56" spans="1:12" ht="26.25" customHeight="1" x14ac:dyDescent="0.4">
      <c r="A56" s="525" t="s">
        <v>87</v>
      </c>
      <c r="B56" s="526">
        <v>300</v>
      </c>
      <c r="C56" s="448" t="str">
        <f>B20</f>
        <v>Lamivudine and Tenofovir Disoproxil Fumarate</v>
      </c>
      <c r="H56" s="505"/>
    </row>
    <row r="57" spans="1:12" ht="18.75" x14ac:dyDescent="0.3">
      <c r="A57" s="525" t="s">
        <v>88</v>
      </c>
      <c r="B57" s="527">
        <f>Uniformity!C46</f>
        <v>1897.8560000000002</v>
      </c>
      <c r="H57" s="505"/>
    </row>
    <row r="58" spans="1:12" ht="19.5" customHeight="1" thickBot="1" x14ac:dyDescent="0.35">
      <c r="H58" s="505"/>
    </row>
    <row r="59" spans="1:12" s="462" customFormat="1" ht="27" customHeight="1" thickBot="1" x14ac:dyDescent="0.45">
      <c r="A59" s="473" t="s">
        <v>89</v>
      </c>
      <c r="B59" s="474">
        <v>200</v>
      </c>
      <c r="C59" s="448"/>
      <c r="D59" s="528" t="s">
        <v>90</v>
      </c>
      <c r="E59" s="529" t="s">
        <v>62</v>
      </c>
      <c r="F59" s="529" t="s">
        <v>63</v>
      </c>
      <c r="G59" s="529" t="s">
        <v>91</v>
      </c>
      <c r="H59" s="477" t="s">
        <v>92</v>
      </c>
      <c r="L59" s="463"/>
    </row>
    <row r="60" spans="1:12" s="462" customFormat="1" ht="26.25" customHeight="1" x14ac:dyDescent="0.4">
      <c r="A60" s="475" t="s">
        <v>93</v>
      </c>
      <c r="B60" s="476">
        <v>4</v>
      </c>
      <c r="C60" s="722" t="s">
        <v>94</v>
      </c>
      <c r="D60" s="725">
        <v>1890.19</v>
      </c>
      <c r="E60" s="530">
        <v>1</v>
      </c>
      <c r="F60" s="531">
        <v>22603320</v>
      </c>
      <c r="G60" s="532">
        <f>IF(ISBLANK(F60),"-",(F60/$D$50*$D$47*$B$68)*($B$57/$D$60))</f>
        <v>288.78560227224381</v>
      </c>
      <c r="H60" s="533">
        <f t="shared" ref="H60:H71" si="0">IF(ISBLANK(F60),"-",(G60/$B$56)*100)</f>
        <v>96.261867424081274</v>
      </c>
      <c r="L60" s="463"/>
    </row>
    <row r="61" spans="1:12" s="462" customFormat="1" ht="26.25" customHeight="1" x14ac:dyDescent="0.4">
      <c r="A61" s="475" t="s">
        <v>95</v>
      </c>
      <c r="B61" s="476">
        <v>50</v>
      </c>
      <c r="C61" s="723"/>
      <c r="D61" s="726"/>
      <c r="E61" s="534">
        <v>2</v>
      </c>
      <c r="F61" s="488">
        <v>22596338</v>
      </c>
      <c r="G61" s="535">
        <f>IF(ISBLANK(F61),"-",(F61/$D$50*$D$47*$B$68)*($B$57/$D$60))</f>
        <v>288.69639851478411</v>
      </c>
      <c r="H61" s="536">
        <f t="shared" si="0"/>
        <v>96.232132838261364</v>
      </c>
      <c r="L61" s="463"/>
    </row>
    <row r="62" spans="1:12" s="462" customFormat="1" ht="26.25" customHeight="1" x14ac:dyDescent="0.4">
      <c r="A62" s="475" t="s">
        <v>96</v>
      </c>
      <c r="B62" s="476">
        <v>1</v>
      </c>
      <c r="C62" s="723"/>
      <c r="D62" s="726"/>
      <c r="E62" s="534">
        <v>3</v>
      </c>
      <c r="F62" s="537">
        <v>22703553</v>
      </c>
      <c r="G62" s="535">
        <f>IF(ISBLANK(F62),"-",(F62/$D$50*$D$47*$B$68)*($B$57/$D$60))</f>
        <v>290.06620385079748</v>
      </c>
      <c r="H62" s="536">
        <f t="shared" si="0"/>
        <v>96.688734616932493</v>
      </c>
      <c r="L62" s="463"/>
    </row>
    <row r="63" spans="1:12" ht="27" customHeight="1" thickBot="1" x14ac:dyDescent="0.45">
      <c r="A63" s="475" t="s">
        <v>97</v>
      </c>
      <c r="B63" s="476">
        <v>1</v>
      </c>
      <c r="C63" s="724"/>
      <c r="D63" s="727"/>
      <c r="E63" s="538">
        <v>4</v>
      </c>
      <c r="F63" s="539"/>
      <c r="G63" s="535" t="str">
        <f>IF(ISBLANK(F63),"-",(F63/$D$50*$D$47*$B$68)*($B$57/$D$60))</f>
        <v>-</v>
      </c>
      <c r="H63" s="536" t="str">
        <f t="shared" si="0"/>
        <v>-</v>
      </c>
    </row>
    <row r="64" spans="1:12" ht="26.25" customHeight="1" x14ac:dyDescent="0.4">
      <c r="A64" s="475" t="s">
        <v>98</v>
      </c>
      <c r="B64" s="476">
        <v>1</v>
      </c>
      <c r="C64" s="722" t="s">
        <v>99</v>
      </c>
      <c r="D64" s="725">
        <v>1789.97</v>
      </c>
      <c r="E64" s="530">
        <v>1</v>
      </c>
      <c r="F64" s="531"/>
      <c r="G64" s="532" t="str">
        <f>IF(ISBLANK(F64),"-",(F64/$D$50*$D$47*$B$68)*($B$57/$D$64))</f>
        <v>-</v>
      </c>
      <c r="H64" s="533" t="str">
        <f t="shared" si="0"/>
        <v>-</v>
      </c>
    </row>
    <row r="65" spans="1:8" ht="26.25" customHeight="1" x14ac:dyDescent="0.4">
      <c r="A65" s="475" t="s">
        <v>100</v>
      </c>
      <c r="B65" s="476">
        <v>1</v>
      </c>
      <c r="C65" s="723"/>
      <c r="D65" s="726"/>
      <c r="E65" s="534">
        <v>2</v>
      </c>
      <c r="F65" s="488"/>
      <c r="G65" s="535" t="str">
        <f>IF(ISBLANK(F65),"-",(F65/$D$50*$D$47*$B$68)*($B$57/$D$64))</f>
        <v>-</v>
      </c>
      <c r="H65" s="536" t="str">
        <f t="shared" si="0"/>
        <v>-</v>
      </c>
    </row>
    <row r="66" spans="1:8" ht="26.25" customHeight="1" x14ac:dyDescent="0.4">
      <c r="A66" s="475" t="s">
        <v>101</v>
      </c>
      <c r="B66" s="476">
        <v>1</v>
      </c>
      <c r="C66" s="723"/>
      <c r="D66" s="726"/>
      <c r="E66" s="534">
        <v>3</v>
      </c>
      <c r="F66" s="488"/>
      <c r="G66" s="535" t="str">
        <f>IF(ISBLANK(F66),"-",(F66/$D$50*$D$47*$B$68)*($B$57/$D$64))</f>
        <v>-</v>
      </c>
      <c r="H66" s="536" t="str">
        <f t="shared" si="0"/>
        <v>-</v>
      </c>
    </row>
    <row r="67" spans="1:8" ht="27" customHeight="1" thickBot="1" x14ac:dyDescent="0.45">
      <c r="A67" s="475" t="s">
        <v>102</v>
      </c>
      <c r="B67" s="476">
        <v>1</v>
      </c>
      <c r="C67" s="724"/>
      <c r="D67" s="727"/>
      <c r="E67" s="538">
        <v>4</v>
      </c>
      <c r="F67" s="539"/>
      <c r="G67" s="540" t="str">
        <f>IF(ISBLANK(F67),"-",(F67/$D$50*$D$47*$B$68)*($B$57/$D$64))</f>
        <v>-</v>
      </c>
      <c r="H67" s="541" t="str">
        <f t="shared" si="0"/>
        <v>-</v>
      </c>
    </row>
    <row r="68" spans="1:8" ht="26.25" customHeight="1" x14ac:dyDescent="0.4">
      <c r="A68" s="475" t="s">
        <v>103</v>
      </c>
      <c r="B68" s="542">
        <f>(B67/B66)*(B65/B64)*(B63/B62)*(B61/B60)*B59</f>
        <v>2500</v>
      </c>
      <c r="C68" s="722" t="s">
        <v>104</v>
      </c>
      <c r="D68" s="725">
        <v>1822.18</v>
      </c>
      <c r="E68" s="530">
        <v>1</v>
      </c>
      <c r="F68" s="531">
        <v>22309615</v>
      </c>
      <c r="G68" s="532">
        <f>IF(ISBLANK(F68),"-",(F68/$D$50*$D$47*$B$68)*($B$57/$D$68))</f>
        <v>295.67156840180496</v>
      </c>
      <c r="H68" s="536">
        <f t="shared" si="0"/>
        <v>98.55718946726833</v>
      </c>
    </row>
    <row r="69" spans="1:8" ht="27" customHeight="1" thickBot="1" x14ac:dyDescent="0.45">
      <c r="A69" s="521" t="s">
        <v>105</v>
      </c>
      <c r="B69" s="543">
        <f>(D47*B68)/B56*B57</f>
        <v>1897.8560000000002</v>
      </c>
      <c r="C69" s="723"/>
      <c r="D69" s="726"/>
      <c r="E69" s="534">
        <v>2</v>
      </c>
      <c r="F69" s="488">
        <v>22426806</v>
      </c>
      <c r="G69" s="535">
        <f>IF(ISBLANK(F69),"-",(F69/$D$50*$D$47*$B$68)*($B$57/$D$68))</f>
        <v>297.22471249562176</v>
      </c>
      <c r="H69" s="536">
        <f t="shared" si="0"/>
        <v>99.074904165207258</v>
      </c>
    </row>
    <row r="70" spans="1:8" ht="26.25" customHeight="1" x14ac:dyDescent="0.4">
      <c r="A70" s="729" t="s">
        <v>78</v>
      </c>
      <c r="B70" s="730"/>
      <c r="C70" s="723"/>
      <c r="D70" s="726"/>
      <c r="E70" s="534">
        <v>3</v>
      </c>
      <c r="F70" s="488">
        <v>22458254</v>
      </c>
      <c r="G70" s="535">
        <f>IF(ISBLANK(F70),"-",(F70/$D$50*$D$47*$B$68)*($B$57/$D$68))</f>
        <v>297.64149599829983</v>
      </c>
      <c r="H70" s="536">
        <f t="shared" si="0"/>
        <v>99.213831999433282</v>
      </c>
    </row>
    <row r="71" spans="1:8" ht="27" customHeight="1" thickBot="1" x14ac:dyDescent="0.45">
      <c r="A71" s="731"/>
      <c r="B71" s="732"/>
      <c r="C71" s="728"/>
      <c r="D71" s="727"/>
      <c r="E71" s="538">
        <v>4</v>
      </c>
      <c r="F71" s="539"/>
      <c r="G71" s="540" t="str">
        <f>IF(ISBLANK(F71),"-",(F71/$D$50*$D$47*$B$68)*($B$57/$D$68))</f>
        <v>-</v>
      </c>
      <c r="H71" s="541" t="str">
        <f t="shared" si="0"/>
        <v>-</v>
      </c>
    </row>
    <row r="72" spans="1:8" ht="26.25" customHeight="1" x14ac:dyDescent="0.4">
      <c r="A72" s="505"/>
      <c r="B72" s="505"/>
      <c r="C72" s="505"/>
      <c r="D72" s="505"/>
      <c r="E72" s="505"/>
      <c r="F72" s="544" t="s">
        <v>71</v>
      </c>
      <c r="G72" s="545">
        <f>AVERAGE(G60:G71)</f>
        <v>293.01433025559203</v>
      </c>
      <c r="H72" s="546">
        <f>AVERAGE(H60:H71)</f>
        <v>97.671443418530671</v>
      </c>
    </row>
    <row r="73" spans="1:8" ht="26.25" customHeight="1" x14ac:dyDescent="0.4">
      <c r="C73" s="505"/>
      <c r="D73" s="505"/>
      <c r="E73" s="505"/>
      <c r="F73" s="547" t="s">
        <v>84</v>
      </c>
      <c r="G73" s="548">
        <f>STDEV(G60:G71)/G72</f>
        <v>1.4592834854585717E-2</v>
      </c>
      <c r="H73" s="548">
        <f>STDEV(H60:H71)/H72</f>
        <v>1.4592834854585752E-2</v>
      </c>
    </row>
    <row r="74" spans="1:8" ht="27" customHeight="1" thickBot="1" x14ac:dyDescent="0.45">
      <c r="A74" s="505"/>
      <c r="B74" s="505"/>
      <c r="C74" s="505"/>
      <c r="D74" s="505"/>
      <c r="E74" s="507"/>
      <c r="F74" s="549" t="s">
        <v>20</v>
      </c>
      <c r="G74" s="550">
        <f>COUNT(G60:G71)</f>
        <v>6</v>
      </c>
      <c r="H74" s="550">
        <f>COUNT(H60:H71)</f>
        <v>6</v>
      </c>
    </row>
    <row r="76" spans="1:8" ht="26.25" customHeight="1" x14ac:dyDescent="0.4">
      <c r="A76" s="458" t="s">
        <v>106</v>
      </c>
      <c r="B76" s="459" t="s">
        <v>107</v>
      </c>
      <c r="C76" s="713" t="str">
        <f>B26</f>
        <v>Lamivudine</v>
      </c>
      <c r="D76" s="713"/>
      <c r="E76" s="448" t="s">
        <v>108</v>
      </c>
      <c r="F76" s="448"/>
      <c r="G76" s="551">
        <f>H72</f>
        <v>97.671443418530671</v>
      </c>
      <c r="H76" s="464"/>
    </row>
    <row r="77" spans="1:8" ht="18.75" x14ac:dyDescent="0.3">
      <c r="A77" s="457" t="s">
        <v>109</v>
      </c>
      <c r="B77" s="457" t="s">
        <v>110</v>
      </c>
    </row>
    <row r="78" spans="1:8" ht="18.75" x14ac:dyDescent="0.3">
      <c r="A78" s="457"/>
      <c r="B78" s="457"/>
    </row>
    <row r="79" spans="1:8" ht="26.25" customHeight="1" x14ac:dyDescent="0.4">
      <c r="A79" s="458" t="s">
        <v>4</v>
      </c>
      <c r="B79" s="734" t="str">
        <f>B26</f>
        <v>Lamivudine</v>
      </c>
      <c r="C79" s="734"/>
    </row>
    <row r="80" spans="1:8" ht="26.25" customHeight="1" x14ac:dyDescent="0.4">
      <c r="A80" s="459" t="s">
        <v>48</v>
      </c>
      <c r="B80" s="734" t="s">
        <v>143</v>
      </c>
      <c r="C80" s="734"/>
    </row>
    <row r="81" spans="1:12" ht="27" customHeight="1" thickBot="1" x14ac:dyDescent="0.45">
      <c r="A81" s="459" t="s">
        <v>6</v>
      </c>
      <c r="B81" s="460">
        <v>99.8</v>
      </c>
    </row>
    <row r="82" spans="1:12" s="462" customFormat="1" ht="27" customHeight="1" thickBot="1" x14ac:dyDescent="0.45">
      <c r="A82" s="459" t="s">
        <v>49</v>
      </c>
      <c r="B82" s="461">
        <v>0</v>
      </c>
      <c r="C82" s="710" t="s">
        <v>50</v>
      </c>
      <c r="D82" s="711"/>
      <c r="E82" s="711"/>
      <c r="F82" s="711"/>
      <c r="G82" s="712"/>
      <c r="I82" s="463"/>
      <c r="J82" s="463"/>
      <c r="K82" s="463"/>
      <c r="L82" s="463"/>
    </row>
    <row r="83" spans="1:12" s="462" customFormat="1" ht="19.5" customHeight="1" thickBot="1" x14ac:dyDescent="0.35">
      <c r="A83" s="459" t="s">
        <v>51</v>
      </c>
      <c r="B83" s="464">
        <f>B81-B82</f>
        <v>99.8</v>
      </c>
      <c r="C83" s="465"/>
      <c r="D83" s="465"/>
      <c r="E83" s="465"/>
      <c r="F83" s="465"/>
      <c r="G83" s="466"/>
      <c r="I83" s="463"/>
      <c r="J83" s="463"/>
      <c r="K83" s="463"/>
      <c r="L83" s="463"/>
    </row>
    <row r="84" spans="1:12" s="462" customFormat="1" ht="27" customHeight="1" thickBot="1" x14ac:dyDescent="0.45">
      <c r="A84" s="459" t="s">
        <v>52</v>
      </c>
      <c r="B84" s="467">
        <v>1</v>
      </c>
      <c r="C84" s="698" t="s">
        <v>111</v>
      </c>
      <c r="D84" s="699"/>
      <c r="E84" s="699"/>
      <c r="F84" s="699"/>
      <c r="G84" s="699"/>
      <c r="H84" s="700"/>
      <c r="I84" s="463"/>
      <c r="J84" s="463"/>
      <c r="K84" s="463"/>
      <c r="L84" s="463"/>
    </row>
    <row r="85" spans="1:12" s="462" customFormat="1" ht="27" customHeight="1" thickBot="1" x14ac:dyDescent="0.45">
      <c r="A85" s="459" t="s">
        <v>54</v>
      </c>
      <c r="B85" s="467">
        <v>1</v>
      </c>
      <c r="C85" s="698" t="s">
        <v>112</v>
      </c>
      <c r="D85" s="699"/>
      <c r="E85" s="699"/>
      <c r="F85" s="699"/>
      <c r="G85" s="699"/>
      <c r="H85" s="700"/>
      <c r="I85" s="463"/>
      <c r="J85" s="463"/>
      <c r="K85" s="463"/>
      <c r="L85" s="463"/>
    </row>
    <row r="86" spans="1:12" s="462" customFormat="1" ht="18.75" x14ac:dyDescent="0.3">
      <c r="A86" s="459"/>
      <c r="B86" s="470"/>
      <c r="C86" s="471"/>
      <c r="D86" s="471"/>
      <c r="E86" s="471"/>
      <c r="F86" s="471"/>
      <c r="G86" s="471"/>
      <c r="H86" s="471"/>
      <c r="I86" s="463"/>
      <c r="J86" s="463"/>
      <c r="K86" s="463"/>
      <c r="L86" s="463"/>
    </row>
    <row r="87" spans="1:12" s="462" customFormat="1" ht="18.75" x14ac:dyDescent="0.3">
      <c r="A87" s="459" t="s">
        <v>56</v>
      </c>
      <c r="B87" s="472">
        <f>B84/B85</f>
        <v>1</v>
      </c>
      <c r="C87" s="448" t="s">
        <v>57</v>
      </c>
      <c r="D87" s="448"/>
      <c r="E87" s="448"/>
      <c r="F87" s="448"/>
      <c r="G87" s="448"/>
      <c r="I87" s="463"/>
      <c r="J87" s="463"/>
      <c r="K87" s="463"/>
      <c r="L87" s="463"/>
    </row>
    <row r="88" spans="1:12" ht="19.5" customHeight="1" thickBot="1" x14ac:dyDescent="0.35">
      <c r="A88" s="457"/>
      <c r="B88" s="457"/>
    </row>
    <row r="89" spans="1:12" ht="27" customHeight="1" thickBot="1" x14ac:dyDescent="0.45">
      <c r="A89" s="473" t="s">
        <v>58</v>
      </c>
      <c r="B89" s="474">
        <v>50</v>
      </c>
      <c r="D89" s="552" t="s">
        <v>59</v>
      </c>
      <c r="E89" s="553"/>
      <c r="F89" s="714" t="s">
        <v>60</v>
      </c>
      <c r="G89" s="716"/>
    </row>
    <row r="90" spans="1:12" ht="27" customHeight="1" thickBot="1" x14ac:dyDescent="0.45">
      <c r="A90" s="475" t="s">
        <v>61</v>
      </c>
      <c r="B90" s="476">
        <v>1</v>
      </c>
      <c r="C90" s="554" t="s">
        <v>62</v>
      </c>
      <c r="D90" s="478" t="s">
        <v>63</v>
      </c>
      <c r="E90" s="479" t="s">
        <v>64</v>
      </c>
      <c r="F90" s="478" t="s">
        <v>63</v>
      </c>
      <c r="G90" s="555" t="s">
        <v>64</v>
      </c>
      <c r="I90" s="481" t="s">
        <v>65</v>
      </c>
    </row>
    <row r="91" spans="1:12" ht="26.25" customHeight="1" x14ac:dyDescent="0.4">
      <c r="A91" s="475" t="s">
        <v>66</v>
      </c>
      <c r="B91" s="476">
        <v>1</v>
      </c>
      <c r="C91" s="556">
        <v>1</v>
      </c>
      <c r="D91" s="483">
        <v>65343968</v>
      </c>
      <c r="E91" s="484">
        <f>IF(ISBLANK(D91),"-",$D$101/$D$98*D91)</f>
        <v>57942405.164310925</v>
      </c>
      <c r="F91" s="483">
        <v>65365661</v>
      </c>
      <c r="G91" s="485">
        <f>IF(ISBLANK(F91),"-",$D$101/$F$98*F91)</f>
        <v>58271044.758556262</v>
      </c>
      <c r="I91" s="486"/>
    </row>
    <row r="92" spans="1:12" ht="26.25" customHeight="1" x14ac:dyDescent="0.4">
      <c r="A92" s="475" t="s">
        <v>67</v>
      </c>
      <c r="B92" s="476">
        <v>1</v>
      </c>
      <c r="C92" s="505">
        <v>2</v>
      </c>
      <c r="D92" s="488">
        <v>65959798</v>
      </c>
      <c r="E92" s="489">
        <f>IF(ISBLANK(D92),"-",$D$101/$D$98*D92)</f>
        <v>58488479.614095449</v>
      </c>
      <c r="F92" s="488">
        <v>64727566</v>
      </c>
      <c r="G92" s="490">
        <f>IF(ISBLANK(F92),"-",$D$101/$F$98*F92)</f>
        <v>57702206.904913031</v>
      </c>
      <c r="I92" s="717">
        <f>ABS((F96/D96*D95)-F95)/D95</f>
        <v>4.7060840755851823E-3</v>
      </c>
    </row>
    <row r="93" spans="1:12" ht="26.25" customHeight="1" x14ac:dyDescent="0.4">
      <c r="A93" s="475" t="s">
        <v>68</v>
      </c>
      <c r="B93" s="476">
        <v>1</v>
      </c>
      <c r="C93" s="505">
        <v>3</v>
      </c>
      <c r="D93" s="488">
        <v>65438815</v>
      </c>
      <c r="E93" s="489">
        <f>IF(ISBLANK(D93),"-",$D$101/$D$98*D93)</f>
        <v>58026508.769751899</v>
      </c>
      <c r="F93" s="488">
        <v>64678816</v>
      </c>
      <c r="G93" s="490">
        <f>IF(ISBLANK(F93),"-",$D$101/$F$98*F93)</f>
        <v>57658748.101184577</v>
      </c>
      <c r="I93" s="717"/>
    </row>
    <row r="94" spans="1:12" ht="27" customHeight="1" thickBot="1" x14ac:dyDescent="0.45">
      <c r="A94" s="475" t="s">
        <v>69</v>
      </c>
      <c r="B94" s="476">
        <v>1</v>
      </c>
      <c r="C94" s="557">
        <v>4</v>
      </c>
      <c r="D94" s="492"/>
      <c r="E94" s="493" t="str">
        <f>IF(ISBLANK(D94),"-",$D$101/$D$98*D94)</f>
        <v>-</v>
      </c>
      <c r="F94" s="558"/>
      <c r="G94" s="494" t="str">
        <f>IF(ISBLANK(F94),"-",$D$101/$F$98*F94)</f>
        <v>-</v>
      </c>
      <c r="I94" s="495"/>
    </row>
    <row r="95" spans="1:12" ht="27" customHeight="1" thickBot="1" x14ac:dyDescent="0.45">
      <c r="A95" s="475" t="s">
        <v>70</v>
      </c>
      <c r="B95" s="476">
        <v>1</v>
      </c>
      <c r="C95" s="459" t="s">
        <v>71</v>
      </c>
      <c r="D95" s="559">
        <f>AVERAGE(D91:D94)</f>
        <v>65580860.333333336</v>
      </c>
      <c r="E95" s="498">
        <f>AVERAGE(E91:E94)</f>
        <v>58152464.51605276</v>
      </c>
      <c r="F95" s="560">
        <f>AVERAGE(F91:F94)</f>
        <v>64924014.333333336</v>
      </c>
      <c r="G95" s="561">
        <f>AVERAGE(G91:G94)</f>
        <v>57877333.254884623</v>
      </c>
    </row>
    <row r="96" spans="1:12" ht="26.25" customHeight="1" x14ac:dyDescent="0.4">
      <c r="A96" s="475" t="s">
        <v>72</v>
      </c>
      <c r="B96" s="460">
        <v>1</v>
      </c>
      <c r="C96" s="562" t="s">
        <v>113</v>
      </c>
      <c r="D96" s="563">
        <v>16.95</v>
      </c>
      <c r="E96" s="448"/>
      <c r="F96" s="502">
        <v>16.86</v>
      </c>
    </row>
    <row r="97" spans="1:10" ht="26.25" customHeight="1" x14ac:dyDescent="0.4">
      <c r="A97" s="475" t="s">
        <v>74</v>
      </c>
      <c r="B97" s="460">
        <v>1</v>
      </c>
      <c r="C97" s="564" t="s">
        <v>114</v>
      </c>
      <c r="D97" s="565">
        <f>D96*$B$87</f>
        <v>16.95</v>
      </c>
      <c r="E97" s="505"/>
      <c r="F97" s="504">
        <f>F96*$B$87</f>
        <v>16.86</v>
      </c>
    </row>
    <row r="98" spans="1:10" ht="19.5" customHeight="1" thickBot="1" x14ac:dyDescent="0.35">
      <c r="A98" s="475" t="s">
        <v>76</v>
      </c>
      <c r="B98" s="505">
        <f>(B97/B96)*(B95/B94)*(B93/B92)*(B91/B90)*B89</f>
        <v>50</v>
      </c>
      <c r="C98" s="564" t="s">
        <v>115</v>
      </c>
      <c r="D98" s="566">
        <f>D97*$B$83/100</f>
        <v>16.9161</v>
      </c>
      <c r="E98" s="507"/>
      <c r="F98" s="506">
        <f>F97*$B$83/100</f>
        <v>16.826280000000001</v>
      </c>
    </row>
    <row r="99" spans="1:10" ht="19.5" customHeight="1" thickBot="1" x14ac:dyDescent="0.35">
      <c r="A99" s="718" t="s">
        <v>78</v>
      </c>
      <c r="B99" s="735"/>
      <c r="C99" s="564" t="s">
        <v>116</v>
      </c>
      <c r="D99" s="567">
        <f>D98/$B$98</f>
        <v>0.33832200000000001</v>
      </c>
      <c r="E99" s="507"/>
      <c r="F99" s="510">
        <f>F98/$B$98</f>
        <v>0.33652560000000004</v>
      </c>
      <c r="H99" s="500"/>
    </row>
    <row r="100" spans="1:10" ht="19.5" customHeight="1" thickBot="1" x14ac:dyDescent="0.35">
      <c r="A100" s="720"/>
      <c r="B100" s="736"/>
      <c r="C100" s="564" t="s">
        <v>80</v>
      </c>
      <c r="D100" s="568">
        <f>$B$56/$B$116</f>
        <v>0.3</v>
      </c>
      <c r="F100" s="515"/>
      <c r="G100" s="569"/>
      <c r="H100" s="500"/>
    </row>
    <row r="101" spans="1:10" ht="18.75" x14ac:dyDescent="0.3">
      <c r="C101" s="564" t="s">
        <v>81</v>
      </c>
      <c r="D101" s="565">
        <f>D100*$B$98</f>
        <v>15</v>
      </c>
      <c r="F101" s="515"/>
      <c r="H101" s="500"/>
    </row>
    <row r="102" spans="1:10" ht="19.5" customHeight="1" thickBot="1" x14ac:dyDescent="0.35">
      <c r="C102" s="570" t="s">
        <v>82</v>
      </c>
      <c r="D102" s="571">
        <f>D101/B34</f>
        <v>15</v>
      </c>
      <c r="F102" s="519"/>
      <c r="H102" s="500"/>
      <c r="J102" s="572"/>
    </row>
    <row r="103" spans="1:10" ht="18.75" x14ac:dyDescent="0.3">
      <c r="C103" s="573" t="s">
        <v>117</v>
      </c>
      <c r="D103" s="574">
        <f>AVERAGE(E91:E94,G91:G94)</f>
        <v>58014898.885468684</v>
      </c>
      <c r="F103" s="519"/>
      <c r="G103" s="569"/>
      <c r="H103" s="500"/>
      <c r="J103" s="575"/>
    </row>
    <row r="104" spans="1:10" ht="18.75" x14ac:dyDescent="0.3">
      <c r="C104" s="547" t="s">
        <v>84</v>
      </c>
      <c r="D104" s="576">
        <f>STDEV(E91:E94,G91:G94)/D103</f>
        <v>5.5582110417273694E-3</v>
      </c>
      <c r="F104" s="519"/>
      <c r="H104" s="500"/>
      <c r="J104" s="575"/>
    </row>
    <row r="105" spans="1:10" ht="19.5" customHeight="1" thickBot="1" x14ac:dyDescent="0.35">
      <c r="C105" s="549" t="s">
        <v>20</v>
      </c>
      <c r="D105" s="577">
        <f>COUNT(E91:E94,G91:G94)</f>
        <v>6</v>
      </c>
      <c r="F105" s="519"/>
      <c r="H105" s="500"/>
      <c r="J105" s="575"/>
    </row>
    <row r="106" spans="1:10" ht="19.5" customHeight="1" thickBot="1" x14ac:dyDescent="0.35">
      <c r="A106" s="523"/>
      <c r="B106" s="523"/>
      <c r="C106" s="523"/>
      <c r="D106" s="523"/>
      <c r="E106" s="523"/>
    </row>
    <row r="107" spans="1:10" ht="27" customHeight="1" thickBot="1" x14ac:dyDescent="0.45">
      <c r="A107" s="473" t="s">
        <v>118</v>
      </c>
      <c r="B107" s="474">
        <v>1000</v>
      </c>
      <c r="C107" s="529" t="s">
        <v>119</v>
      </c>
      <c r="D107" s="529" t="s">
        <v>63</v>
      </c>
      <c r="E107" s="529" t="s">
        <v>120</v>
      </c>
      <c r="F107" s="578" t="s">
        <v>121</v>
      </c>
    </row>
    <row r="108" spans="1:10" ht="26.25" customHeight="1" x14ac:dyDescent="0.4">
      <c r="A108" s="475" t="s">
        <v>122</v>
      </c>
      <c r="B108" s="476">
        <v>1</v>
      </c>
      <c r="C108" s="530">
        <v>1</v>
      </c>
      <c r="D108" s="579">
        <v>59068208</v>
      </c>
      <c r="E108" s="580">
        <f t="shared" ref="E108:E113" si="1">IF(ISBLANK(D108),"-",D108/$D$103*$D$100*$B$116)</f>
        <v>305.446751445404</v>
      </c>
      <c r="F108" s="581">
        <f t="shared" ref="F108:F113" si="2">IF(ISBLANK(D108), "-", (E108/$B$56)*100)</f>
        <v>101.81558381513467</v>
      </c>
    </row>
    <row r="109" spans="1:10" ht="26.25" customHeight="1" x14ac:dyDescent="0.4">
      <c r="A109" s="475" t="s">
        <v>95</v>
      </c>
      <c r="B109" s="476">
        <v>1</v>
      </c>
      <c r="C109" s="534">
        <v>2</v>
      </c>
      <c r="D109" s="582">
        <v>58151804</v>
      </c>
      <c r="E109" s="583">
        <f t="shared" si="1"/>
        <v>300.70794804694015</v>
      </c>
      <c r="F109" s="584">
        <f t="shared" si="2"/>
        <v>100.23598268231338</v>
      </c>
    </row>
    <row r="110" spans="1:10" ht="26.25" customHeight="1" x14ac:dyDescent="0.4">
      <c r="A110" s="475" t="s">
        <v>96</v>
      </c>
      <c r="B110" s="476">
        <v>1</v>
      </c>
      <c r="C110" s="534">
        <v>3</v>
      </c>
      <c r="D110" s="582">
        <v>58356727</v>
      </c>
      <c r="E110" s="583">
        <f t="shared" si="1"/>
        <v>301.76762239234171</v>
      </c>
      <c r="F110" s="584">
        <f t="shared" si="2"/>
        <v>100.58920746411391</v>
      </c>
    </row>
    <row r="111" spans="1:10" ht="26.25" customHeight="1" x14ac:dyDescent="0.4">
      <c r="A111" s="475" t="s">
        <v>97</v>
      </c>
      <c r="B111" s="476">
        <v>1</v>
      </c>
      <c r="C111" s="534">
        <v>4</v>
      </c>
      <c r="D111" s="582">
        <v>59073398</v>
      </c>
      <c r="E111" s="583">
        <f t="shared" si="1"/>
        <v>305.4735893789333</v>
      </c>
      <c r="F111" s="584">
        <f t="shared" si="2"/>
        <v>101.82452979297776</v>
      </c>
    </row>
    <row r="112" spans="1:10" ht="26.25" customHeight="1" x14ac:dyDescent="0.4">
      <c r="A112" s="475" t="s">
        <v>98</v>
      </c>
      <c r="B112" s="476">
        <v>1</v>
      </c>
      <c r="C112" s="534">
        <v>5</v>
      </c>
      <c r="D112" s="582">
        <v>53503115</v>
      </c>
      <c r="E112" s="583">
        <f t="shared" si="1"/>
        <v>276.66917995819119</v>
      </c>
      <c r="F112" s="584">
        <f t="shared" si="2"/>
        <v>92.223059986063731</v>
      </c>
    </row>
    <row r="113" spans="1:10" ht="27" customHeight="1" thickBot="1" x14ac:dyDescent="0.45">
      <c r="A113" s="475" t="s">
        <v>100</v>
      </c>
      <c r="B113" s="476">
        <v>1</v>
      </c>
      <c r="C113" s="538">
        <v>6</v>
      </c>
      <c r="D113" s="585">
        <v>59393296</v>
      </c>
      <c r="E113" s="586">
        <f t="shared" si="1"/>
        <v>307.12780927492008</v>
      </c>
      <c r="F113" s="587">
        <f t="shared" si="2"/>
        <v>102.37593642497336</v>
      </c>
    </row>
    <row r="114" spans="1:10" ht="27" customHeight="1" thickBot="1" x14ac:dyDescent="0.45">
      <c r="A114" s="475" t="s">
        <v>101</v>
      </c>
      <c r="B114" s="476">
        <v>1</v>
      </c>
      <c r="C114" s="588"/>
      <c r="D114" s="505"/>
      <c r="E114" s="448"/>
      <c r="F114" s="584"/>
    </row>
    <row r="115" spans="1:10" ht="26.25" customHeight="1" x14ac:dyDescent="0.4">
      <c r="A115" s="475" t="s">
        <v>102</v>
      </c>
      <c r="B115" s="476">
        <v>1</v>
      </c>
      <c r="C115" s="588"/>
      <c r="D115" s="589" t="s">
        <v>71</v>
      </c>
      <c r="E115" s="590">
        <f>AVERAGE(E108:E113)</f>
        <v>299.53215008278846</v>
      </c>
      <c r="F115" s="591">
        <f>AVERAGE(F108:F113)</f>
        <v>99.84405002759614</v>
      </c>
    </row>
    <row r="116" spans="1:10" ht="27" customHeight="1" thickBot="1" x14ac:dyDescent="0.45">
      <c r="A116" s="475" t="s">
        <v>103</v>
      </c>
      <c r="B116" s="487">
        <f>(B115/B114)*(B113/B112)*(B111/B110)*(B109/B108)*B107</f>
        <v>1000</v>
      </c>
      <c r="C116" s="592"/>
      <c r="D116" s="593" t="s">
        <v>84</v>
      </c>
      <c r="E116" s="548">
        <f>STDEV(E108:E113)/E115</f>
        <v>3.8271738971781204E-2</v>
      </c>
      <c r="F116" s="594">
        <f>STDEV(F108:F113)/F115</f>
        <v>3.8271738971781211E-2</v>
      </c>
      <c r="I116" s="448"/>
    </row>
    <row r="117" spans="1:10" ht="27" customHeight="1" thickBot="1" x14ac:dyDescent="0.45">
      <c r="A117" s="718" t="s">
        <v>78</v>
      </c>
      <c r="B117" s="719"/>
      <c r="C117" s="595"/>
      <c r="D117" s="549" t="s">
        <v>20</v>
      </c>
      <c r="E117" s="596">
        <f>COUNT(E108:E113)</f>
        <v>6</v>
      </c>
      <c r="F117" s="597">
        <f>COUNT(F108:F113)</f>
        <v>6</v>
      </c>
      <c r="I117" s="448"/>
      <c r="J117" s="575"/>
    </row>
    <row r="118" spans="1:10" ht="26.25" customHeight="1" thickBot="1" x14ac:dyDescent="0.35">
      <c r="A118" s="720"/>
      <c r="B118" s="721"/>
      <c r="C118" s="448"/>
      <c r="D118" s="598"/>
      <c r="E118" s="737" t="s">
        <v>123</v>
      </c>
      <c r="F118" s="738"/>
      <c r="G118" s="448"/>
      <c r="H118" s="448"/>
      <c r="I118" s="448"/>
    </row>
    <row r="119" spans="1:10" ht="25.5" customHeight="1" x14ac:dyDescent="0.4">
      <c r="A119" s="599"/>
      <c r="B119" s="471"/>
      <c r="C119" s="448"/>
      <c r="D119" s="593" t="s">
        <v>124</v>
      </c>
      <c r="E119" s="600">
        <f>MIN(E108:E113)</f>
        <v>276.66917995819119</v>
      </c>
      <c r="F119" s="601">
        <f>MIN(F108:F113)</f>
        <v>92.223059986063731</v>
      </c>
      <c r="G119" s="448"/>
      <c r="H119" s="448"/>
      <c r="I119" s="448"/>
    </row>
    <row r="120" spans="1:10" ht="24" customHeight="1" thickBot="1" x14ac:dyDescent="0.45">
      <c r="A120" s="599"/>
      <c r="B120" s="471"/>
      <c r="C120" s="448"/>
      <c r="D120" s="516" t="s">
        <v>125</v>
      </c>
      <c r="E120" s="602">
        <f>MAX(E108:E113)</f>
        <v>307.12780927492008</v>
      </c>
      <c r="F120" s="603">
        <f>MAX(F108:F113)</f>
        <v>102.37593642497336</v>
      </c>
      <c r="G120" s="448"/>
      <c r="H120" s="448"/>
      <c r="I120" s="448"/>
    </row>
    <row r="121" spans="1:10" ht="27" customHeight="1" x14ac:dyDescent="0.3">
      <c r="A121" s="599"/>
      <c r="B121" s="471"/>
      <c r="C121" s="448"/>
      <c r="D121" s="448"/>
      <c r="E121" s="448"/>
      <c r="F121" s="505"/>
      <c r="G121" s="448"/>
      <c r="H121" s="448"/>
      <c r="I121" s="448"/>
    </row>
    <row r="122" spans="1:10" ht="25.5" customHeight="1" x14ac:dyDescent="0.3">
      <c r="A122" s="599"/>
      <c r="B122" s="471"/>
      <c r="C122" s="448"/>
      <c r="D122" s="448"/>
      <c r="E122" s="448"/>
      <c r="F122" s="505"/>
      <c r="G122" s="448"/>
      <c r="H122" s="448"/>
      <c r="I122" s="448"/>
    </row>
    <row r="123" spans="1:10" ht="18.75" x14ac:dyDescent="0.3">
      <c r="A123" s="599"/>
      <c r="B123" s="471"/>
      <c r="C123" s="448"/>
      <c r="D123" s="448"/>
      <c r="E123" s="448"/>
      <c r="F123" s="505"/>
      <c r="G123" s="448"/>
      <c r="H123" s="448"/>
      <c r="I123" s="448"/>
    </row>
    <row r="124" spans="1:10" ht="45.75" customHeight="1" x14ac:dyDescent="0.65">
      <c r="A124" s="458" t="s">
        <v>106</v>
      </c>
      <c r="B124" s="459" t="s">
        <v>126</v>
      </c>
      <c r="C124" s="713" t="str">
        <f>B26</f>
        <v>Lamivudine</v>
      </c>
      <c r="D124" s="713"/>
      <c r="E124" s="448" t="s">
        <v>127</v>
      </c>
      <c r="F124" s="448"/>
      <c r="G124" s="604">
        <f>F115</f>
        <v>99.84405002759614</v>
      </c>
      <c r="H124" s="448"/>
      <c r="I124" s="448"/>
    </row>
    <row r="125" spans="1:10" ht="45.75" customHeight="1" x14ac:dyDescent="0.65">
      <c r="A125" s="458"/>
      <c r="B125" s="459" t="s">
        <v>128</v>
      </c>
      <c r="C125" s="459" t="s">
        <v>129</v>
      </c>
      <c r="D125" s="604">
        <f>MIN(F108:F113)</f>
        <v>92.223059986063731</v>
      </c>
      <c r="E125" s="459" t="s">
        <v>130</v>
      </c>
      <c r="F125" s="604">
        <f>MAX(F108:F113)</f>
        <v>102.37593642497336</v>
      </c>
      <c r="G125" s="551"/>
      <c r="H125" s="448"/>
      <c r="I125" s="448"/>
    </row>
    <row r="126" spans="1:10" ht="19.5" customHeight="1" thickBot="1" x14ac:dyDescent="0.35">
      <c r="A126" s="605"/>
      <c r="B126" s="605"/>
      <c r="C126" s="606"/>
      <c r="D126" s="606"/>
      <c r="E126" s="606"/>
      <c r="F126" s="606"/>
      <c r="G126" s="606"/>
      <c r="H126" s="606"/>
    </row>
    <row r="127" spans="1:10" ht="18.75" x14ac:dyDescent="0.3">
      <c r="B127" s="733" t="s">
        <v>26</v>
      </c>
      <c r="C127" s="733"/>
      <c r="E127" s="554" t="s">
        <v>27</v>
      </c>
      <c r="F127" s="607"/>
      <c r="G127" s="733" t="s">
        <v>28</v>
      </c>
      <c r="H127" s="733"/>
    </row>
    <row r="128" spans="1:10" ht="69.95" customHeight="1" x14ac:dyDescent="0.3">
      <c r="A128" s="458" t="s">
        <v>29</v>
      </c>
      <c r="B128" s="608"/>
      <c r="C128" s="608"/>
      <c r="E128" s="608"/>
      <c r="F128" s="448"/>
      <c r="G128" s="608"/>
      <c r="H128" s="608"/>
    </row>
    <row r="129" spans="1:9" ht="69.95" customHeight="1" x14ac:dyDescent="0.3">
      <c r="A129" s="458" t="s">
        <v>30</v>
      </c>
      <c r="B129" s="609"/>
      <c r="C129" s="609"/>
      <c r="E129" s="609"/>
      <c r="F129" s="448"/>
      <c r="G129" s="610"/>
      <c r="H129" s="610"/>
    </row>
    <row r="130" spans="1:9" ht="18.75" x14ac:dyDescent="0.3">
      <c r="A130" s="505"/>
      <c r="B130" s="505"/>
      <c r="C130" s="505"/>
      <c r="D130" s="505"/>
      <c r="E130" s="505"/>
      <c r="F130" s="507"/>
      <c r="G130" s="505"/>
      <c r="H130" s="505"/>
      <c r="I130" s="448"/>
    </row>
    <row r="131" spans="1:9" ht="18.75" x14ac:dyDescent="0.3">
      <c r="A131" s="505"/>
      <c r="B131" s="505"/>
      <c r="C131" s="505"/>
      <c r="D131" s="505"/>
      <c r="E131" s="505"/>
      <c r="F131" s="507"/>
      <c r="G131" s="505"/>
      <c r="H131" s="505"/>
      <c r="I131" s="448"/>
    </row>
    <row r="132" spans="1:9" ht="18.75" x14ac:dyDescent="0.3">
      <c r="A132" s="505"/>
      <c r="B132" s="505"/>
      <c r="C132" s="505"/>
      <c r="D132" s="505"/>
      <c r="E132" s="505"/>
      <c r="F132" s="507"/>
      <c r="G132" s="505"/>
      <c r="H132" s="505"/>
      <c r="I132" s="448"/>
    </row>
    <row r="133" spans="1:9" ht="18.75" x14ac:dyDescent="0.3">
      <c r="A133" s="505"/>
      <c r="B133" s="505"/>
      <c r="C133" s="505"/>
      <c r="D133" s="505"/>
      <c r="E133" s="505"/>
      <c r="F133" s="507"/>
      <c r="G133" s="505"/>
      <c r="H133" s="505"/>
      <c r="I133" s="448"/>
    </row>
    <row r="134" spans="1:9" ht="18.75" x14ac:dyDescent="0.3">
      <c r="A134" s="505"/>
      <c r="B134" s="505"/>
      <c r="C134" s="505"/>
      <c r="D134" s="505"/>
      <c r="E134" s="505"/>
      <c r="F134" s="507"/>
      <c r="G134" s="505"/>
      <c r="H134" s="505"/>
      <c r="I134" s="448"/>
    </row>
    <row r="135" spans="1:9" ht="18.75" x14ac:dyDescent="0.3">
      <c r="A135" s="505"/>
      <c r="B135" s="505"/>
      <c r="C135" s="505"/>
      <c r="D135" s="505"/>
      <c r="E135" s="505"/>
      <c r="F135" s="507"/>
      <c r="G135" s="505"/>
      <c r="H135" s="505"/>
      <c r="I135" s="448"/>
    </row>
    <row r="136" spans="1:9" ht="18.75" x14ac:dyDescent="0.3">
      <c r="A136" s="505"/>
      <c r="B136" s="505"/>
      <c r="C136" s="505"/>
      <c r="D136" s="505"/>
      <c r="E136" s="505"/>
      <c r="F136" s="507"/>
      <c r="G136" s="505"/>
      <c r="H136" s="505"/>
      <c r="I136" s="448"/>
    </row>
    <row r="137" spans="1:9" ht="18.75" x14ac:dyDescent="0.3">
      <c r="A137" s="505"/>
      <c r="B137" s="505"/>
      <c r="C137" s="505"/>
      <c r="D137" s="505"/>
      <c r="E137" s="505"/>
      <c r="F137" s="507"/>
      <c r="G137" s="505"/>
      <c r="H137" s="505"/>
      <c r="I137" s="448"/>
    </row>
    <row r="138" spans="1:9" ht="18.75" x14ac:dyDescent="0.3">
      <c r="A138" s="505"/>
      <c r="B138" s="505"/>
      <c r="C138" s="505"/>
      <c r="D138" s="505"/>
      <c r="E138" s="505"/>
      <c r="F138" s="507"/>
      <c r="G138" s="505"/>
      <c r="H138" s="505"/>
      <c r="I138" s="448"/>
    </row>
    <row r="250" spans="1:1" x14ac:dyDescent="0.25">
      <c r="A250" s="446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44" t="s">
        <v>31</v>
      </c>
      <c r="B11" s="745"/>
      <c r="C11" s="745"/>
      <c r="D11" s="745"/>
      <c r="E11" s="745"/>
      <c r="F11" s="746"/>
      <c r="G11" s="43"/>
    </row>
    <row r="12" spans="1:7" ht="16.5" customHeight="1" x14ac:dyDescent="0.3">
      <c r="A12" s="743" t="s">
        <v>32</v>
      </c>
      <c r="B12" s="743"/>
      <c r="C12" s="743"/>
      <c r="D12" s="743"/>
      <c r="E12" s="743"/>
      <c r="F12" s="743"/>
      <c r="G12" s="42"/>
    </row>
    <row r="14" spans="1:7" ht="16.5" customHeight="1" x14ac:dyDescent="0.3">
      <c r="A14" s="748" t="s">
        <v>33</v>
      </c>
      <c r="B14" s="748"/>
      <c r="C14" s="12" t="s">
        <v>5</v>
      </c>
    </row>
    <row r="15" spans="1:7" ht="16.5" customHeight="1" x14ac:dyDescent="0.3">
      <c r="A15" s="748" t="s">
        <v>34</v>
      </c>
      <c r="B15" s="748"/>
      <c r="C15" s="12" t="s">
        <v>7</v>
      </c>
    </row>
    <row r="16" spans="1:7" ht="16.5" customHeight="1" x14ac:dyDescent="0.3">
      <c r="A16" s="748" t="s">
        <v>35</v>
      </c>
      <c r="B16" s="748"/>
      <c r="C16" s="12" t="s">
        <v>9</v>
      </c>
    </row>
    <row r="17" spans="1:5" ht="16.5" customHeight="1" x14ac:dyDescent="0.3">
      <c r="A17" s="748" t="s">
        <v>36</v>
      </c>
      <c r="B17" s="748"/>
      <c r="C17" s="12" t="s">
        <v>11</v>
      </c>
    </row>
    <row r="18" spans="1:5" ht="16.5" customHeight="1" x14ac:dyDescent="0.3">
      <c r="A18" s="748" t="s">
        <v>37</v>
      </c>
      <c r="B18" s="748"/>
      <c r="C18" s="49" t="s">
        <v>12</v>
      </c>
    </row>
    <row r="19" spans="1:5" ht="16.5" customHeight="1" x14ac:dyDescent="0.3">
      <c r="A19" s="748" t="s">
        <v>38</v>
      </c>
      <c r="B19" s="74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43" t="s">
        <v>1</v>
      </c>
      <c r="B21" s="743"/>
      <c r="C21" s="11" t="s">
        <v>39</v>
      </c>
      <c r="D21" s="18"/>
    </row>
    <row r="22" spans="1:5" ht="15.75" customHeight="1" x14ac:dyDescent="0.3">
      <c r="A22" s="747"/>
      <c r="B22" s="747"/>
      <c r="C22" s="9"/>
      <c r="D22" s="747"/>
      <c r="E22" s="747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1881.41</v>
      </c>
      <c r="D24" s="39">
        <f t="shared" ref="D24:D43" si="0">(C24-$C$46)/$C$46</f>
        <v>-8.6655678829163744E-3</v>
      </c>
      <c r="E24" s="5"/>
    </row>
    <row r="25" spans="1:5" ht="15.75" customHeight="1" x14ac:dyDescent="0.3">
      <c r="C25" s="47">
        <v>1927.36</v>
      </c>
      <c r="D25" s="40">
        <f t="shared" si="0"/>
        <v>1.5545963445066261E-2</v>
      </c>
      <c r="E25" s="5"/>
    </row>
    <row r="26" spans="1:5" ht="15.75" customHeight="1" x14ac:dyDescent="0.3">
      <c r="C26" s="47">
        <v>1922.11</v>
      </c>
      <c r="D26" s="40">
        <f t="shared" si="0"/>
        <v>1.2779684022391411E-2</v>
      </c>
      <c r="E26" s="5"/>
    </row>
    <row r="27" spans="1:5" ht="15.75" customHeight="1" x14ac:dyDescent="0.3">
      <c r="C27" s="47">
        <v>1945.45</v>
      </c>
      <c r="D27" s="40">
        <f t="shared" si="0"/>
        <v>2.5077771970054535E-2</v>
      </c>
      <c r="E27" s="5"/>
    </row>
    <row r="28" spans="1:5" ht="15.75" customHeight="1" x14ac:dyDescent="0.3">
      <c r="C28" s="47">
        <v>1877.85</v>
      </c>
      <c r="D28" s="40">
        <f t="shared" si="0"/>
        <v>-1.0541368786673125E-2</v>
      </c>
      <c r="E28" s="5"/>
    </row>
    <row r="29" spans="1:5" ht="15.75" customHeight="1" x14ac:dyDescent="0.3">
      <c r="C29" s="47">
        <v>1890.01</v>
      </c>
      <c r="D29" s="40">
        <f t="shared" si="0"/>
        <v>-4.1341387333919061E-3</v>
      </c>
      <c r="E29" s="5"/>
    </row>
    <row r="30" spans="1:5" ht="15.75" customHeight="1" x14ac:dyDescent="0.3">
      <c r="C30" s="47">
        <v>1860.29</v>
      </c>
      <c r="D30" s="40">
        <f t="shared" si="0"/>
        <v>-1.9793914817562687E-2</v>
      </c>
      <c r="E30" s="5"/>
    </row>
    <row r="31" spans="1:5" ht="15.75" customHeight="1" x14ac:dyDescent="0.3">
      <c r="C31" s="47">
        <v>1927.62</v>
      </c>
      <c r="D31" s="40">
        <f t="shared" si="0"/>
        <v>1.568296014028444E-2</v>
      </c>
      <c r="E31" s="5"/>
    </row>
    <row r="32" spans="1:5" ht="15.75" customHeight="1" x14ac:dyDescent="0.3">
      <c r="C32" s="47">
        <v>1947.36</v>
      </c>
      <c r="D32" s="40">
        <f t="shared" si="0"/>
        <v>2.6084170769541878E-2</v>
      </c>
      <c r="E32" s="5"/>
    </row>
    <row r="33" spans="1:7" ht="15.75" customHeight="1" x14ac:dyDescent="0.3">
      <c r="C33" s="47">
        <v>1883.88</v>
      </c>
      <c r="D33" s="40">
        <f t="shared" si="0"/>
        <v>-7.3640992783436214E-3</v>
      </c>
      <c r="E33" s="5"/>
    </row>
    <row r="34" spans="1:7" ht="15.75" customHeight="1" x14ac:dyDescent="0.3">
      <c r="C34" s="47">
        <v>1917.7</v>
      </c>
      <c r="D34" s="40">
        <f t="shared" si="0"/>
        <v>1.0456009307344616E-2</v>
      </c>
      <c r="E34" s="5"/>
    </row>
    <row r="35" spans="1:7" ht="15.75" customHeight="1" x14ac:dyDescent="0.3">
      <c r="C35" s="47">
        <v>1874.67</v>
      </c>
      <c r="D35" s="40">
        <f t="shared" si="0"/>
        <v>-1.2216943751264663E-2</v>
      </c>
      <c r="E35" s="5"/>
    </row>
    <row r="36" spans="1:7" ht="15.75" customHeight="1" x14ac:dyDescent="0.3">
      <c r="C36" s="47">
        <v>1880.09</v>
      </c>
      <c r="D36" s="40">
        <f t="shared" si="0"/>
        <v>-9.3610895663318507E-3</v>
      </c>
      <c r="E36" s="5"/>
    </row>
    <row r="37" spans="1:7" ht="15.75" customHeight="1" x14ac:dyDescent="0.3">
      <c r="C37" s="47">
        <v>1894.02</v>
      </c>
      <c r="D37" s="40">
        <f t="shared" si="0"/>
        <v>-2.02122816483455E-3</v>
      </c>
      <c r="E37" s="5"/>
    </row>
    <row r="38" spans="1:7" ht="15.75" customHeight="1" x14ac:dyDescent="0.3">
      <c r="C38" s="47">
        <v>1859.41</v>
      </c>
      <c r="D38" s="40">
        <f t="shared" si="0"/>
        <v>-2.0257595939839553E-2</v>
      </c>
      <c r="E38" s="5"/>
    </row>
    <row r="39" spans="1:7" ht="15.75" customHeight="1" x14ac:dyDescent="0.3">
      <c r="C39" s="47">
        <v>1866.47</v>
      </c>
      <c r="D39" s="40">
        <f t="shared" si="0"/>
        <v>-1.6537608754299691E-2</v>
      </c>
      <c r="E39" s="5"/>
    </row>
    <row r="40" spans="1:7" ht="15.75" customHeight="1" x14ac:dyDescent="0.3">
      <c r="C40" s="47">
        <v>1918.92</v>
      </c>
      <c r="D40" s="40">
        <f t="shared" si="0"/>
        <v>1.1098839954137641E-2</v>
      </c>
      <c r="E40" s="5"/>
    </row>
    <row r="41" spans="1:7" ht="15.75" customHeight="1" x14ac:dyDescent="0.3">
      <c r="C41" s="47">
        <v>1888.97</v>
      </c>
      <c r="D41" s="40">
        <f t="shared" si="0"/>
        <v>-4.6821255142646193E-3</v>
      </c>
      <c r="E41" s="5"/>
    </row>
    <row r="42" spans="1:7" ht="15.75" customHeight="1" x14ac:dyDescent="0.3">
      <c r="C42" s="47">
        <v>1880.97</v>
      </c>
      <c r="D42" s="40">
        <f t="shared" si="0"/>
        <v>-8.8974084440548665E-3</v>
      </c>
      <c r="E42" s="5"/>
    </row>
    <row r="43" spans="1:7" ht="16.5" customHeight="1" x14ac:dyDescent="0.3">
      <c r="C43" s="48">
        <v>1912.56</v>
      </c>
      <c r="D43" s="41">
        <f t="shared" si="0"/>
        <v>7.7476900249543283E-3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37957.120000000003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1897.8560000000002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41">
        <f>C46</f>
        <v>1897.8560000000002</v>
      </c>
      <c r="C49" s="45">
        <f>-IF(C46&lt;=80,10%,IF(C46&lt;250,7.5%,5%))</f>
        <v>-0.05</v>
      </c>
      <c r="D49" s="33">
        <f>IF(C46&lt;=80,C46*0.9,IF(C46&lt;250,C46*0.925,C46*0.95))</f>
        <v>1802.9632000000001</v>
      </c>
    </row>
    <row r="50" spans="1:6" ht="17.25" customHeight="1" x14ac:dyDescent="0.3">
      <c r="B50" s="742"/>
      <c r="C50" s="46">
        <f>IF(C46&lt;=80, 10%, IF(C46&lt;250, 7.5%, 5%))</f>
        <v>0.05</v>
      </c>
      <c r="D50" s="33">
        <f>IF(C46&lt;=80, C46*1.1, IF(C46&lt;250, C46*1.075, C46*1.05))</f>
        <v>1992.7488000000003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10" zoomScale="42" zoomScaleNormal="40" zoomScalePageLayoutView="42" workbookViewId="0">
      <selection activeCell="C126" sqref="C1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49" t="s">
        <v>45</v>
      </c>
      <c r="B1" s="749"/>
      <c r="C1" s="749"/>
      <c r="D1" s="749"/>
      <c r="E1" s="749"/>
      <c r="F1" s="749"/>
      <c r="G1" s="749"/>
      <c r="H1" s="749"/>
      <c r="I1" s="749"/>
    </row>
    <row r="2" spans="1:9" ht="18.75" customHeight="1" x14ac:dyDescent="0.25">
      <c r="A2" s="749"/>
      <c r="B2" s="749"/>
      <c r="C2" s="749"/>
      <c r="D2" s="749"/>
      <c r="E2" s="749"/>
      <c r="F2" s="749"/>
      <c r="G2" s="749"/>
      <c r="H2" s="749"/>
      <c r="I2" s="749"/>
    </row>
    <row r="3" spans="1:9" ht="18.75" customHeight="1" x14ac:dyDescent="0.25">
      <c r="A3" s="749"/>
      <c r="B3" s="749"/>
      <c r="C3" s="749"/>
      <c r="D3" s="749"/>
      <c r="E3" s="749"/>
      <c r="F3" s="749"/>
      <c r="G3" s="749"/>
      <c r="H3" s="749"/>
      <c r="I3" s="749"/>
    </row>
    <row r="4" spans="1:9" ht="18.75" customHeight="1" x14ac:dyDescent="0.25">
      <c r="A4" s="749"/>
      <c r="B4" s="749"/>
      <c r="C4" s="749"/>
      <c r="D4" s="749"/>
      <c r="E4" s="749"/>
      <c r="F4" s="749"/>
      <c r="G4" s="749"/>
      <c r="H4" s="749"/>
      <c r="I4" s="749"/>
    </row>
    <row r="5" spans="1:9" ht="18.75" customHeight="1" x14ac:dyDescent="0.25">
      <c r="A5" s="749"/>
      <c r="B5" s="749"/>
      <c r="C5" s="749"/>
      <c r="D5" s="749"/>
      <c r="E5" s="749"/>
      <c r="F5" s="749"/>
      <c r="G5" s="749"/>
      <c r="H5" s="749"/>
      <c r="I5" s="749"/>
    </row>
    <row r="6" spans="1:9" ht="18.75" customHeight="1" x14ac:dyDescent="0.25">
      <c r="A6" s="749"/>
      <c r="B6" s="749"/>
      <c r="C6" s="749"/>
      <c r="D6" s="749"/>
      <c r="E6" s="749"/>
      <c r="F6" s="749"/>
      <c r="G6" s="749"/>
      <c r="H6" s="749"/>
      <c r="I6" s="749"/>
    </row>
    <row r="7" spans="1:9" ht="18.75" customHeight="1" x14ac:dyDescent="0.25">
      <c r="A7" s="749"/>
      <c r="B7" s="749"/>
      <c r="C7" s="749"/>
      <c r="D7" s="749"/>
      <c r="E7" s="749"/>
      <c r="F7" s="749"/>
      <c r="G7" s="749"/>
      <c r="H7" s="749"/>
      <c r="I7" s="749"/>
    </row>
    <row r="8" spans="1:9" x14ac:dyDescent="0.25">
      <c r="A8" s="750" t="s">
        <v>46</v>
      </c>
      <c r="B8" s="750"/>
      <c r="C8" s="750"/>
      <c r="D8" s="750"/>
      <c r="E8" s="750"/>
      <c r="F8" s="750"/>
      <c r="G8" s="750"/>
      <c r="H8" s="750"/>
      <c r="I8" s="750"/>
    </row>
    <row r="9" spans="1:9" x14ac:dyDescent="0.25">
      <c r="A9" s="750"/>
      <c r="B9" s="750"/>
      <c r="C9" s="750"/>
      <c r="D9" s="750"/>
      <c r="E9" s="750"/>
      <c r="F9" s="750"/>
      <c r="G9" s="750"/>
      <c r="H9" s="750"/>
      <c r="I9" s="750"/>
    </row>
    <row r="10" spans="1:9" x14ac:dyDescent="0.25">
      <c r="A10" s="750"/>
      <c r="B10" s="750"/>
      <c r="C10" s="750"/>
      <c r="D10" s="750"/>
      <c r="E10" s="750"/>
      <c r="F10" s="750"/>
      <c r="G10" s="750"/>
      <c r="H10" s="750"/>
      <c r="I10" s="750"/>
    </row>
    <row r="11" spans="1:9" x14ac:dyDescent="0.25">
      <c r="A11" s="750"/>
      <c r="B11" s="750"/>
      <c r="C11" s="750"/>
      <c r="D11" s="750"/>
      <c r="E11" s="750"/>
      <c r="F11" s="750"/>
      <c r="G11" s="750"/>
      <c r="H11" s="750"/>
      <c r="I11" s="750"/>
    </row>
    <row r="12" spans="1:9" x14ac:dyDescent="0.25">
      <c r="A12" s="750"/>
      <c r="B12" s="750"/>
      <c r="C12" s="750"/>
      <c r="D12" s="750"/>
      <c r="E12" s="750"/>
      <c r="F12" s="750"/>
      <c r="G12" s="750"/>
      <c r="H12" s="750"/>
      <c r="I12" s="750"/>
    </row>
    <row r="13" spans="1:9" x14ac:dyDescent="0.25">
      <c r="A13" s="750"/>
      <c r="B13" s="750"/>
      <c r="C13" s="750"/>
      <c r="D13" s="750"/>
      <c r="E13" s="750"/>
      <c r="F13" s="750"/>
      <c r="G13" s="750"/>
      <c r="H13" s="750"/>
      <c r="I13" s="750"/>
    </row>
    <row r="14" spans="1:9" x14ac:dyDescent="0.25">
      <c r="A14" s="750"/>
      <c r="B14" s="750"/>
      <c r="C14" s="750"/>
      <c r="D14" s="750"/>
      <c r="E14" s="750"/>
      <c r="F14" s="750"/>
      <c r="G14" s="750"/>
      <c r="H14" s="750"/>
      <c r="I14" s="750"/>
    </row>
    <row r="15" spans="1:9" ht="19.5" customHeight="1" x14ac:dyDescent="0.3">
      <c r="A15" s="50"/>
    </row>
    <row r="16" spans="1:9" ht="19.5" customHeight="1" x14ac:dyDescent="0.3">
      <c r="A16" s="782" t="s">
        <v>31</v>
      </c>
      <c r="B16" s="783"/>
      <c r="C16" s="783"/>
      <c r="D16" s="783"/>
      <c r="E16" s="783"/>
      <c r="F16" s="783"/>
      <c r="G16" s="783"/>
      <c r="H16" s="784"/>
    </row>
    <row r="17" spans="1:14" ht="20.25" customHeight="1" x14ac:dyDescent="0.25">
      <c r="A17" s="785" t="s">
        <v>47</v>
      </c>
      <c r="B17" s="785"/>
      <c r="C17" s="785"/>
      <c r="D17" s="785"/>
      <c r="E17" s="785"/>
      <c r="F17" s="785"/>
      <c r="G17" s="785"/>
      <c r="H17" s="785"/>
    </row>
    <row r="18" spans="1:14" ht="26.25" customHeight="1" x14ac:dyDescent="0.4">
      <c r="A18" s="52" t="s">
        <v>33</v>
      </c>
      <c r="B18" s="781" t="s">
        <v>5</v>
      </c>
      <c r="C18" s="781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86" t="s">
        <v>9</v>
      </c>
      <c r="C20" s="78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86" t="s">
        <v>11</v>
      </c>
      <c r="C21" s="786"/>
      <c r="D21" s="786"/>
      <c r="E21" s="786"/>
      <c r="F21" s="786"/>
      <c r="G21" s="786"/>
      <c r="H21" s="786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42762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81" t="s">
        <v>141</v>
      </c>
      <c r="C26" s="781"/>
    </row>
    <row r="27" spans="1:14" ht="26.25" customHeight="1" x14ac:dyDescent="0.4">
      <c r="A27" s="61" t="s">
        <v>48</v>
      </c>
      <c r="B27" s="787" t="s">
        <v>142</v>
      </c>
      <c r="C27" s="787"/>
    </row>
    <row r="28" spans="1:14" ht="27" customHeight="1" x14ac:dyDescent="0.4">
      <c r="A28" s="61" t="s">
        <v>6</v>
      </c>
      <c r="B28" s="62">
        <v>98.9</v>
      </c>
    </row>
    <row r="29" spans="1:14" s="3" customFormat="1" ht="27" customHeight="1" x14ac:dyDescent="0.4">
      <c r="A29" s="61" t="s">
        <v>49</v>
      </c>
      <c r="B29" s="63">
        <v>0</v>
      </c>
      <c r="C29" s="757" t="s">
        <v>50</v>
      </c>
      <c r="D29" s="758"/>
      <c r="E29" s="758"/>
      <c r="F29" s="758"/>
      <c r="G29" s="759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98.9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60" t="s">
        <v>53</v>
      </c>
      <c r="D31" s="761"/>
      <c r="E31" s="761"/>
      <c r="F31" s="761"/>
      <c r="G31" s="761"/>
      <c r="H31" s="762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60" t="s">
        <v>55</v>
      </c>
      <c r="D32" s="761"/>
      <c r="E32" s="761"/>
      <c r="F32" s="761"/>
      <c r="G32" s="761"/>
      <c r="H32" s="76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763" t="s">
        <v>59</v>
      </c>
      <c r="E36" s="788"/>
      <c r="F36" s="763" t="s">
        <v>60</v>
      </c>
      <c r="G36" s="764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25</v>
      </c>
      <c r="C38" s="83">
        <v>1</v>
      </c>
      <c r="D38" s="84">
        <v>5472774</v>
      </c>
      <c r="E38" s="85">
        <f>IF(ISBLANK(D38),"-",$D$48/$D$45*D38)</f>
        <v>5712640.1427401341</v>
      </c>
      <c r="F38" s="84">
        <v>5522877</v>
      </c>
      <c r="G38" s="86">
        <f>IF(ISBLANK(F38),"-",$D$48/$F$45*F38)</f>
        <v>5798862.2511174325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5452301</v>
      </c>
      <c r="E39" s="90">
        <f>IF(ISBLANK(D39),"-",$D$48/$D$45*D39)</f>
        <v>5691269.8318809029</v>
      </c>
      <c r="F39" s="89">
        <v>5525758</v>
      </c>
      <c r="G39" s="91">
        <f>IF(ISBLANK(F39),"-",$D$48/$F$45*F39)</f>
        <v>5801887.2183845779</v>
      </c>
      <c r="I39" s="765">
        <f>ABS((F43/D43*D42)-F42)/D42</f>
        <v>1.4920207883909416E-2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5491245</v>
      </c>
      <c r="E40" s="90">
        <f>IF(ISBLANK(D40),"-",$D$48/$D$45*D40)</f>
        <v>5731920.7079665726</v>
      </c>
      <c r="F40" s="89">
        <v>5516585</v>
      </c>
      <c r="G40" s="91">
        <f>IF(ISBLANK(F40),"-",$D$48/$F$45*F40)</f>
        <v>5792255.8318030005</v>
      </c>
      <c r="I40" s="765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5472106.666666667</v>
      </c>
      <c r="E42" s="100">
        <f>AVERAGE(E38:E41)</f>
        <v>5711943.5608625365</v>
      </c>
      <c r="F42" s="99">
        <f>AVERAGE(F38:F41)</f>
        <v>5521740</v>
      </c>
      <c r="G42" s="101">
        <f>AVERAGE(G38:G41)</f>
        <v>5797668.4337683367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29.06</v>
      </c>
      <c r="E43" s="92"/>
      <c r="F43" s="104">
        <v>28.89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29.06</v>
      </c>
      <c r="E44" s="107"/>
      <c r="F44" s="106">
        <f>F43*$B$34</f>
        <v>28.89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125</v>
      </c>
      <c r="C45" s="105" t="s">
        <v>77</v>
      </c>
      <c r="D45" s="109">
        <f>D44*$B$30/100</f>
        <v>28.74034</v>
      </c>
      <c r="E45" s="110"/>
      <c r="F45" s="109">
        <f>F44*$B$30/100</f>
        <v>28.572209999999998</v>
      </c>
      <c r="H45" s="102"/>
    </row>
    <row r="46" spans="1:14" ht="19.5" customHeight="1" x14ac:dyDescent="0.3">
      <c r="A46" s="751" t="s">
        <v>78</v>
      </c>
      <c r="B46" s="752"/>
      <c r="C46" s="105" t="s">
        <v>79</v>
      </c>
      <c r="D46" s="111">
        <f>D45/$B$45</f>
        <v>0.22992272</v>
      </c>
      <c r="E46" s="112"/>
      <c r="F46" s="113">
        <f>F45/$B$45</f>
        <v>0.22857767999999998</v>
      </c>
      <c r="H46" s="102"/>
    </row>
    <row r="47" spans="1:14" ht="27" customHeight="1" x14ac:dyDescent="0.4">
      <c r="A47" s="753"/>
      <c r="B47" s="754"/>
      <c r="C47" s="114" t="s">
        <v>80</v>
      </c>
      <c r="D47" s="115">
        <v>0.24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30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30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5754805.9973154366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8.4768149015495668E-3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film coated tablet contains: Tenofovir disoproxil fumarate 300 mg, Lamivudine USP 300 mg, Efavirenz USP 600 mg. </v>
      </c>
    </row>
    <row r="56" spans="1:12" ht="26.25" customHeight="1" x14ac:dyDescent="0.4">
      <c r="A56" s="129" t="s">
        <v>87</v>
      </c>
      <c r="B56" s="130">
        <v>600</v>
      </c>
      <c r="C56" s="51" t="str">
        <f>B20</f>
        <v xml:space="preserve">Tenofovir Disoproxil Fumarate 300mg, Lamivudine 300mg &amp; Efavirenz 600mg </v>
      </c>
      <c r="H56" s="131"/>
    </row>
    <row r="57" spans="1:12" ht="18.75" x14ac:dyDescent="0.3">
      <c r="A57" s="128" t="s">
        <v>88</v>
      </c>
      <c r="B57" s="199">
        <f>Uniformity!C46</f>
        <v>1897.8560000000002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768" t="s">
        <v>94</v>
      </c>
      <c r="D60" s="771">
        <v>1890.19</v>
      </c>
      <c r="E60" s="134">
        <v>1</v>
      </c>
      <c r="F60" s="135">
        <v>5372049</v>
      </c>
      <c r="G60" s="200">
        <f>IF(ISBLANK(F60),"-",(F60/$D$50*$D$47*$B$68)*($B$57/$D$60))</f>
        <v>562.36505256089754</v>
      </c>
      <c r="H60" s="218">
        <f t="shared" ref="H60:H71" si="0">IF(ISBLANK(F60),"-",(G60/$B$56)*100)</f>
        <v>93.72750876014959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769"/>
      <c r="D61" s="772"/>
      <c r="E61" s="136">
        <v>2</v>
      </c>
      <c r="F61" s="89">
        <v>5378261</v>
      </c>
      <c r="G61" s="201">
        <f>IF(ISBLANK(F61),"-",(F61/$D$50*$D$47*$B$68)*($B$57/$D$60))</f>
        <v>563.01534664915118</v>
      </c>
      <c r="H61" s="219">
        <f t="shared" si="0"/>
        <v>93.835891108191859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69"/>
      <c r="D62" s="772"/>
      <c r="E62" s="136">
        <v>3</v>
      </c>
      <c r="F62" s="137">
        <v>5397458</v>
      </c>
      <c r="G62" s="201">
        <f>IF(ISBLANK(F62),"-",(F62/$D$50*$D$47*$B$68)*($B$57/$D$60))</f>
        <v>565.02495637423203</v>
      </c>
      <c r="H62" s="219">
        <f t="shared" si="0"/>
        <v>94.170826062372001</v>
      </c>
      <c r="L62" s="64"/>
    </row>
    <row r="63" spans="1:12" ht="27" customHeight="1" x14ac:dyDescent="0.4">
      <c r="A63" s="76" t="s">
        <v>97</v>
      </c>
      <c r="B63" s="77">
        <v>1</v>
      </c>
      <c r="C63" s="778"/>
      <c r="D63" s="77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68" t="s">
        <v>99</v>
      </c>
      <c r="D64" s="771">
        <v>1789.97</v>
      </c>
      <c r="E64" s="134">
        <v>1</v>
      </c>
      <c r="F64" s="135">
        <v>4945948</v>
      </c>
      <c r="G64" s="200">
        <f>IF(ISBLANK(F64),"-",(F64/$D$50*$D$47*$B$68)*($B$57/$D$64))</f>
        <v>546.74851714657223</v>
      </c>
      <c r="H64" s="218">
        <f t="shared" si="0"/>
        <v>91.124752857762033</v>
      </c>
    </row>
    <row r="65" spans="1:8" ht="26.25" customHeight="1" x14ac:dyDescent="0.4">
      <c r="A65" s="76" t="s">
        <v>100</v>
      </c>
      <c r="B65" s="77">
        <v>1</v>
      </c>
      <c r="C65" s="769"/>
      <c r="D65" s="772"/>
      <c r="E65" s="136">
        <v>2</v>
      </c>
      <c r="F65" s="89">
        <v>4925537</v>
      </c>
      <c r="G65" s="201">
        <f>IF(ISBLANK(F65),"-",(F65/$D$50*$D$47*$B$68)*($B$57/$D$64))</f>
        <v>544.49218853505465</v>
      </c>
      <c r="H65" s="219">
        <f t="shared" si="0"/>
        <v>90.748698089175775</v>
      </c>
    </row>
    <row r="66" spans="1:8" ht="26.25" customHeight="1" x14ac:dyDescent="0.4">
      <c r="A66" s="76" t="s">
        <v>101</v>
      </c>
      <c r="B66" s="77">
        <v>1</v>
      </c>
      <c r="C66" s="769"/>
      <c r="D66" s="772"/>
      <c r="E66" s="136">
        <v>3</v>
      </c>
      <c r="F66" s="89">
        <v>4921088</v>
      </c>
      <c r="G66" s="201">
        <f>IF(ISBLANK(F66),"-",(F66/$D$50*$D$47*$B$68)*($B$57/$D$64))</f>
        <v>544.00037500349606</v>
      </c>
      <c r="H66" s="219">
        <f t="shared" si="0"/>
        <v>90.666729167249343</v>
      </c>
    </row>
    <row r="67" spans="1:8" ht="27" customHeight="1" x14ac:dyDescent="0.4">
      <c r="A67" s="76" t="s">
        <v>102</v>
      </c>
      <c r="B67" s="77">
        <v>1</v>
      </c>
      <c r="C67" s="778"/>
      <c r="D67" s="77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768" t="s">
        <v>104</v>
      </c>
      <c r="D68" s="771">
        <v>1822.18</v>
      </c>
      <c r="E68" s="134">
        <v>1</v>
      </c>
      <c r="F68" s="135"/>
      <c r="G68" s="200" t="str">
        <f>IF(ISBLANK(F68),"-",(F68/$D$50*$D$47*$B$68)*($B$57/$D$68))</f>
        <v>-</v>
      </c>
      <c r="H68" s="219" t="str">
        <f t="shared" si="0"/>
        <v>-</v>
      </c>
    </row>
    <row r="69" spans="1:8" ht="27" customHeight="1" x14ac:dyDescent="0.4">
      <c r="A69" s="124" t="s">
        <v>105</v>
      </c>
      <c r="B69" s="141">
        <f>(D47*B68)/B56*B57</f>
        <v>1897.8560000000002</v>
      </c>
      <c r="C69" s="769"/>
      <c r="D69" s="772"/>
      <c r="E69" s="136">
        <v>2</v>
      </c>
      <c r="F69" s="89"/>
      <c r="G69" s="201" t="str">
        <f>IF(ISBLANK(F69),"-",(F69/$D$50*$D$47*$B$68)*($B$57/$D$68))</f>
        <v>-</v>
      </c>
      <c r="H69" s="219" t="str">
        <f t="shared" si="0"/>
        <v>-</v>
      </c>
    </row>
    <row r="70" spans="1:8" ht="26.25" customHeight="1" x14ac:dyDescent="0.4">
      <c r="A70" s="774" t="s">
        <v>78</v>
      </c>
      <c r="B70" s="775"/>
      <c r="C70" s="769"/>
      <c r="D70" s="772"/>
      <c r="E70" s="136">
        <v>3</v>
      </c>
      <c r="F70" s="89"/>
      <c r="G70" s="201" t="str">
        <f>IF(ISBLANK(F70),"-",(F70/$D$50*$D$47*$B$68)*($B$57/$D$68))</f>
        <v>-</v>
      </c>
      <c r="H70" s="219" t="str">
        <f t="shared" si="0"/>
        <v>-</v>
      </c>
    </row>
    <row r="71" spans="1:8" ht="27" customHeight="1" x14ac:dyDescent="0.4">
      <c r="A71" s="776"/>
      <c r="B71" s="777"/>
      <c r="C71" s="770"/>
      <c r="D71" s="77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554.27440604490062</v>
      </c>
      <c r="H72" s="221">
        <f>AVERAGE(H60:H71)</f>
        <v>92.379067674150107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1.8315978213281084E-2</v>
      </c>
      <c r="H73" s="205">
        <f>STDEV(H60:H71)/H72</f>
        <v>1.831597821328107E-2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6</v>
      </c>
      <c r="H74" s="148">
        <f>COUNT(H60:H71)</f>
        <v>6</v>
      </c>
    </row>
    <row r="76" spans="1:8" ht="26.25" customHeight="1" x14ac:dyDescent="0.4">
      <c r="A76" s="60" t="s">
        <v>106</v>
      </c>
      <c r="B76" s="149" t="s">
        <v>107</v>
      </c>
      <c r="C76" s="755" t="str">
        <f>B26</f>
        <v>EFAVIRENZ</v>
      </c>
      <c r="D76" s="755"/>
      <c r="E76" s="150" t="s">
        <v>108</v>
      </c>
      <c r="F76" s="150"/>
      <c r="G76" s="151">
        <f>H72</f>
        <v>92.379067674150107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89" t="str">
        <f>B26</f>
        <v>EFAVIRENZ</v>
      </c>
      <c r="C79" s="789"/>
    </row>
    <row r="80" spans="1:8" ht="26.25" customHeight="1" x14ac:dyDescent="0.4">
      <c r="A80" s="61" t="s">
        <v>48</v>
      </c>
      <c r="B80" s="789" t="str">
        <f>B27</f>
        <v>E4-4</v>
      </c>
      <c r="C80" s="789"/>
    </row>
    <row r="81" spans="1:12" ht="27" customHeight="1" x14ac:dyDescent="0.4">
      <c r="A81" s="61" t="s">
        <v>6</v>
      </c>
      <c r="B81" s="153">
        <f>B28</f>
        <v>98.9</v>
      </c>
    </row>
    <row r="82" spans="1:12" s="3" customFormat="1" ht="27" customHeight="1" x14ac:dyDescent="0.4">
      <c r="A82" s="61" t="s">
        <v>49</v>
      </c>
      <c r="B82" s="63">
        <v>0</v>
      </c>
      <c r="C82" s="757" t="s">
        <v>50</v>
      </c>
      <c r="D82" s="758"/>
      <c r="E82" s="758"/>
      <c r="F82" s="758"/>
      <c r="G82" s="759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98.9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60" t="s">
        <v>111</v>
      </c>
      <c r="D84" s="761"/>
      <c r="E84" s="761"/>
      <c r="F84" s="761"/>
      <c r="G84" s="761"/>
      <c r="H84" s="762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60" t="s">
        <v>112</v>
      </c>
      <c r="D85" s="761"/>
      <c r="E85" s="761"/>
      <c r="F85" s="761"/>
      <c r="G85" s="761"/>
      <c r="H85" s="76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763" t="s">
        <v>60</v>
      </c>
      <c r="G89" s="764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11397580</v>
      </c>
      <c r="E91" s="85">
        <f>IF(ISBLANK(D91),"-",$D$101/$D$98*D91)</f>
        <v>11992037.280007239</v>
      </c>
      <c r="F91" s="84">
        <v>11984814</v>
      </c>
      <c r="G91" s="86">
        <f>IF(ISBLANK(F91),"-",$D$101/$F$98*F91)</f>
        <v>12106007.238464264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11416619</v>
      </c>
      <c r="E92" s="90">
        <f>IF(ISBLANK(D92),"-",$D$101/$D$98*D92)</f>
        <v>12012069.286606364</v>
      </c>
      <c r="F92" s="89">
        <v>11791832</v>
      </c>
      <c r="G92" s="91">
        <f>IF(ISBLANK(F92),"-",$D$101/$F$98*F92)</f>
        <v>11911073.759405406</v>
      </c>
      <c r="I92" s="765">
        <f>ABS((F96/D96*D95)-F95)/D95</f>
        <v>1.4179736463393014E-3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11345521</v>
      </c>
      <c r="E93" s="90">
        <f>IF(ISBLANK(D93),"-",$D$101/$D$98*D93)</f>
        <v>11937263.067520035</v>
      </c>
      <c r="F93" s="89">
        <v>11756477</v>
      </c>
      <c r="G93" s="91">
        <f>IF(ISBLANK(F93),"-",$D$101/$F$98*F93)</f>
        <v>11875361.241387529</v>
      </c>
      <c r="I93" s="765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11386573.333333334</v>
      </c>
      <c r="E95" s="100">
        <f>AVERAGE(E91:E94)</f>
        <v>11980456.544711212</v>
      </c>
      <c r="F95" s="163">
        <f>AVERAGE(F91:F94)</f>
        <v>11844374.333333334</v>
      </c>
      <c r="G95" s="164">
        <f>AVERAGE(G91:G94)</f>
        <v>11964147.413085734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28.83</v>
      </c>
      <c r="E96" s="92"/>
      <c r="F96" s="104">
        <v>30.03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28.83</v>
      </c>
      <c r="E97" s="107"/>
      <c r="F97" s="106">
        <f>F96*$B$87</f>
        <v>30.03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28.512869999999999</v>
      </c>
      <c r="E98" s="110"/>
      <c r="F98" s="109">
        <f>F97*$B$83/100</f>
        <v>29.699670000000001</v>
      </c>
    </row>
    <row r="99" spans="1:10" ht="19.5" customHeight="1" x14ac:dyDescent="0.3">
      <c r="A99" s="751" t="s">
        <v>78</v>
      </c>
      <c r="B99" s="766"/>
      <c r="C99" s="167" t="s">
        <v>116</v>
      </c>
      <c r="D99" s="171">
        <f>D98/$B$98</f>
        <v>0.57025740000000003</v>
      </c>
      <c r="E99" s="110"/>
      <c r="F99" s="113">
        <f>F98/$B$98</f>
        <v>0.5939934</v>
      </c>
      <c r="G99" s="172"/>
      <c r="H99" s="102"/>
    </row>
    <row r="100" spans="1:10" ht="19.5" customHeight="1" x14ac:dyDescent="0.3">
      <c r="A100" s="753"/>
      <c r="B100" s="767"/>
      <c r="C100" s="167" t="s">
        <v>80</v>
      </c>
      <c r="D100" s="173">
        <f>$B$56/$B$116</f>
        <v>0.6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30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30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11972301.978898473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6.9102051819407454E-3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12300677</v>
      </c>
      <c r="E108" s="202">
        <f t="shared" ref="E108:E113" si="1">IF(ISBLANK(D108),"-",D108/$D$103*$D$100*$B$116)</f>
        <v>616.45673597343091</v>
      </c>
      <c r="F108" s="229">
        <f t="shared" ref="F108:F113" si="2">IF(ISBLANK(D108), "-", (E108/$B$56)*100)</f>
        <v>102.74278932890515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12104168</v>
      </c>
      <c r="E109" s="203">
        <f t="shared" si="1"/>
        <v>606.60855471239915</v>
      </c>
      <c r="F109" s="230">
        <f t="shared" si="2"/>
        <v>101.10142578539987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12198944</v>
      </c>
      <c r="E110" s="203">
        <f t="shared" si="1"/>
        <v>611.3583179659679</v>
      </c>
      <c r="F110" s="230">
        <f t="shared" si="2"/>
        <v>101.89305299432799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12334010</v>
      </c>
      <c r="E111" s="203">
        <f t="shared" si="1"/>
        <v>618.12724178219264</v>
      </c>
      <c r="F111" s="230">
        <f t="shared" si="2"/>
        <v>103.02120696369876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11119661</v>
      </c>
      <c r="E112" s="203">
        <f t="shared" si="1"/>
        <v>557.26932145206774</v>
      </c>
      <c r="F112" s="230">
        <f t="shared" si="2"/>
        <v>92.878220242011295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12222544</v>
      </c>
      <c r="E113" s="204">
        <f t="shared" si="1"/>
        <v>612.54104790587076</v>
      </c>
      <c r="F113" s="231">
        <f t="shared" si="2"/>
        <v>102.09017465097845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603.7268699653215</v>
      </c>
      <c r="F115" s="233">
        <f>AVERAGE(F108:F113)</f>
        <v>100.62114499422027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3.8290339109430784E-2</v>
      </c>
      <c r="F116" s="187">
        <f>STDEV(F108:F113)/F115</f>
        <v>3.8290339109430735E-2</v>
      </c>
      <c r="I116" s="50"/>
    </row>
    <row r="117" spans="1:10" ht="27" customHeight="1" x14ac:dyDescent="0.4">
      <c r="A117" s="751" t="s">
        <v>78</v>
      </c>
      <c r="B117" s="752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753"/>
      <c r="B118" s="754"/>
      <c r="C118" s="50"/>
      <c r="D118" s="212"/>
      <c r="E118" s="779" t="s">
        <v>123</v>
      </c>
      <c r="F118" s="780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557.26932145206774</v>
      </c>
      <c r="F119" s="234">
        <f>MIN(F108:F113)</f>
        <v>92.878220242011295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618.12724178219264</v>
      </c>
      <c r="F120" s="235">
        <f>MAX(F108:F113)</f>
        <v>103.02120696369876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55" t="str">
        <f>B26</f>
        <v>EFAVIRENZ</v>
      </c>
      <c r="D124" s="755"/>
      <c r="E124" s="150" t="s">
        <v>127</v>
      </c>
      <c r="F124" s="150"/>
      <c r="G124" s="236">
        <f>F115</f>
        <v>100.62114499422027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92.878220242011295</v>
      </c>
      <c r="E125" s="161" t="s">
        <v>130</v>
      </c>
      <c r="F125" s="236">
        <f>MAX(F108:F113)</f>
        <v>103.02120696369876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56" t="s">
        <v>26</v>
      </c>
      <c r="C127" s="756"/>
      <c r="E127" s="156" t="s">
        <v>27</v>
      </c>
      <c r="F127" s="191"/>
      <c r="G127" s="756" t="s">
        <v>28</v>
      </c>
      <c r="H127" s="756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Layout" topLeftCell="A36" zoomScaleNormal="100" workbookViewId="0">
      <selection activeCell="B56" sqref="B56"/>
    </sheetView>
  </sheetViews>
  <sheetFormatPr defaultRowHeight="13.5" x14ac:dyDescent="0.25"/>
  <cols>
    <col min="1" max="1" width="27.5703125" style="238" customWidth="1"/>
    <col min="2" max="2" width="20.42578125" style="238" customWidth="1"/>
    <col min="3" max="3" width="31.85546875" style="238" customWidth="1"/>
    <col min="4" max="4" width="25.85546875" style="238" customWidth="1"/>
    <col min="5" max="5" width="25.7109375" style="238" customWidth="1"/>
    <col min="6" max="6" width="23.140625" style="238" customWidth="1"/>
    <col min="7" max="7" width="28.42578125" style="238" customWidth="1"/>
    <col min="8" max="8" width="21.5703125" style="238" customWidth="1"/>
    <col min="9" max="9" width="9.140625" style="238" customWidth="1"/>
    <col min="10" max="16384" width="9.140625" style="240"/>
  </cols>
  <sheetData>
    <row r="14" spans="1:6" ht="15" customHeight="1" x14ac:dyDescent="0.3">
      <c r="A14" s="237"/>
      <c r="C14" s="239"/>
      <c r="F14" s="239"/>
    </row>
    <row r="15" spans="1:6" ht="18.75" customHeight="1" x14ac:dyDescent="0.3">
      <c r="A15" s="655" t="s">
        <v>0</v>
      </c>
      <c r="B15" s="655"/>
      <c r="C15" s="655"/>
      <c r="D15" s="655"/>
      <c r="E15" s="655"/>
    </row>
    <row r="16" spans="1:6" ht="16.5" customHeight="1" x14ac:dyDescent="0.3">
      <c r="A16" s="241" t="s">
        <v>1</v>
      </c>
      <c r="B16" s="242" t="s">
        <v>2</v>
      </c>
    </row>
    <row r="17" spans="1:5" ht="16.5" customHeight="1" x14ac:dyDescent="0.3">
      <c r="A17" s="243" t="s">
        <v>3</v>
      </c>
      <c r="B17" s="243" t="s">
        <v>131</v>
      </c>
      <c r="D17" s="244"/>
      <c r="E17" s="245"/>
    </row>
    <row r="18" spans="1:5" ht="16.5" customHeight="1" x14ac:dyDescent="0.3">
      <c r="A18" s="246" t="s">
        <v>4</v>
      </c>
      <c r="B18" s="238" t="s">
        <v>141</v>
      </c>
      <c r="C18" s="245"/>
      <c r="D18" s="245"/>
      <c r="E18" s="245"/>
    </row>
    <row r="19" spans="1:5" ht="16.5" customHeight="1" x14ac:dyDescent="0.3">
      <c r="A19" s="246" t="s">
        <v>6</v>
      </c>
      <c r="B19" s="247">
        <v>98.9</v>
      </c>
      <c r="C19" s="245"/>
      <c r="D19" s="245"/>
      <c r="E19" s="245"/>
    </row>
    <row r="20" spans="1:5" ht="16.5" customHeight="1" x14ac:dyDescent="0.3">
      <c r="A20" s="243" t="s">
        <v>8</v>
      </c>
      <c r="B20" s="247">
        <v>29.06</v>
      </c>
      <c r="C20" s="245"/>
      <c r="D20" s="245"/>
      <c r="E20" s="245"/>
    </row>
    <row r="21" spans="1:5" ht="16.5" customHeight="1" x14ac:dyDescent="0.3">
      <c r="A21" s="243" t="s">
        <v>10</v>
      </c>
      <c r="B21" s="248">
        <f>B20/50*10/25</f>
        <v>0.23247999999999996</v>
      </c>
      <c r="C21" s="245"/>
      <c r="D21" s="245"/>
      <c r="E21" s="245"/>
    </row>
    <row r="22" spans="1:5" ht="15.75" customHeight="1" x14ac:dyDescent="0.25">
      <c r="A22" s="245"/>
      <c r="B22" s="245" t="s">
        <v>133</v>
      </c>
      <c r="C22" s="245"/>
      <c r="D22" s="245"/>
      <c r="E22" s="245"/>
    </row>
    <row r="23" spans="1:5" ht="16.5" customHeight="1" x14ac:dyDescent="0.3">
      <c r="A23" s="249" t="s">
        <v>13</v>
      </c>
      <c r="B23" s="250" t="s">
        <v>14</v>
      </c>
      <c r="C23" s="249" t="s">
        <v>15</v>
      </c>
      <c r="D23" s="249" t="s">
        <v>16</v>
      </c>
      <c r="E23" s="249" t="s">
        <v>17</v>
      </c>
    </row>
    <row r="24" spans="1:5" ht="16.5" customHeight="1" x14ac:dyDescent="0.3">
      <c r="A24" s="251">
        <v>1</v>
      </c>
      <c r="B24" s="252">
        <v>5491233</v>
      </c>
      <c r="C24" s="252">
        <v>407317.3</v>
      </c>
      <c r="D24" s="253">
        <v>1.1000000000000001</v>
      </c>
      <c r="E24" s="254">
        <v>26.5</v>
      </c>
    </row>
    <row r="25" spans="1:5" ht="16.5" customHeight="1" x14ac:dyDescent="0.3">
      <c r="A25" s="251">
        <v>2</v>
      </c>
      <c r="B25" s="252">
        <v>5489466</v>
      </c>
      <c r="C25" s="252">
        <v>408406.4</v>
      </c>
      <c r="D25" s="253">
        <v>1.1000000000000001</v>
      </c>
      <c r="E25" s="253">
        <v>26.5</v>
      </c>
    </row>
    <row r="26" spans="1:5" ht="16.5" customHeight="1" x14ac:dyDescent="0.3">
      <c r="A26" s="251">
        <v>3</v>
      </c>
      <c r="B26" s="252">
        <v>5420785</v>
      </c>
      <c r="C26" s="252">
        <v>427581.5</v>
      </c>
      <c r="D26" s="253">
        <v>1.1000000000000001</v>
      </c>
      <c r="E26" s="253">
        <v>26.5</v>
      </c>
    </row>
    <row r="27" spans="1:5" ht="16.5" customHeight="1" x14ac:dyDescent="0.3">
      <c r="A27" s="251">
        <v>4</v>
      </c>
      <c r="B27" s="252">
        <v>5481621</v>
      </c>
      <c r="C27" s="252">
        <v>429345.3</v>
      </c>
      <c r="D27" s="253">
        <v>1.1000000000000001</v>
      </c>
      <c r="E27" s="253">
        <v>26.5</v>
      </c>
    </row>
    <row r="28" spans="1:5" ht="16.5" customHeight="1" x14ac:dyDescent="0.3">
      <c r="A28" s="251">
        <v>5</v>
      </c>
      <c r="B28" s="252">
        <v>5476786</v>
      </c>
      <c r="C28" s="252">
        <v>431195.9</v>
      </c>
      <c r="D28" s="253">
        <v>1.1000000000000001</v>
      </c>
      <c r="E28" s="253">
        <v>26.5</v>
      </c>
    </row>
    <row r="29" spans="1:5" ht="16.5" customHeight="1" x14ac:dyDescent="0.3">
      <c r="A29" s="251">
        <v>6</v>
      </c>
      <c r="B29" s="255">
        <v>5442653</v>
      </c>
      <c r="C29" s="255">
        <v>431728.4</v>
      </c>
      <c r="D29" s="256">
        <v>1.1000000000000001</v>
      </c>
      <c r="E29" s="256">
        <v>26.5</v>
      </c>
    </row>
    <row r="30" spans="1:5" ht="16.5" customHeight="1" x14ac:dyDescent="0.3">
      <c r="A30" s="257" t="s">
        <v>18</v>
      </c>
      <c r="B30" s="258">
        <f>AVERAGE(B24:B29)</f>
        <v>5467090.666666667</v>
      </c>
      <c r="C30" s="259">
        <f>AVERAGE(C24:C29)</f>
        <v>422595.8</v>
      </c>
      <c r="D30" s="260">
        <f>AVERAGE(D24:D29)</f>
        <v>1.0999999999999999</v>
      </c>
      <c r="E30" s="260">
        <f>AVERAGE(E24:E29)</f>
        <v>26.5</v>
      </c>
    </row>
    <row r="31" spans="1:5" ht="16.5" customHeight="1" x14ac:dyDescent="0.3">
      <c r="A31" s="261" t="s">
        <v>19</v>
      </c>
      <c r="B31" s="262">
        <f>(STDEV(B24:B29)/B30)</f>
        <v>5.2569820187712765E-3</v>
      </c>
      <c r="C31" s="263"/>
      <c r="D31" s="263"/>
      <c r="E31" s="264"/>
    </row>
    <row r="32" spans="1:5" s="238" customFormat="1" ht="16.5" customHeight="1" x14ac:dyDescent="0.3">
      <c r="A32" s="265" t="s">
        <v>20</v>
      </c>
      <c r="B32" s="266">
        <f>COUNT(B24:B29)</f>
        <v>6</v>
      </c>
      <c r="C32" s="267"/>
      <c r="D32" s="268"/>
      <c r="E32" s="269"/>
    </row>
    <row r="33" spans="1:5" s="238" customFormat="1" ht="15.75" customHeight="1" x14ac:dyDescent="0.25">
      <c r="A33" s="245"/>
      <c r="B33" s="245"/>
      <c r="C33" s="245"/>
      <c r="D33" s="245"/>
      <c r="E33" s="245"/>
    </row>
    <row r="34" spans="1:5" s="238" customFormat="1" ht="16.5" customHeight="1" x14ac:dyDescent="0.3">
      <c r="A34" s="246" t="s">
        <v>21</v>
      </c>
      <c r="B34" s="270" t="s">
        <v>22</v>
      </c>
      <c r="C34" s="271"/>
      <c r="D34" s="271"/>
      <c r="E34" s="271"/>
    </row>
    <row r="35" spans="1:5" ht="16.5" customHeight="1" x14ac:dyDescent="0.3">
      <c r="A35" s="246"/>
      <c r="B35" s="270" t="s">
        <v>23</v>
      </c>
      <c r="C35" s="271"/>
      <c r="D35" s="271"/>
      <c r="E35" s="271"/>
    </row>
    <row r="36" spans="1:5" ht="16.5" customHeight="1" x14ac:dyDescent="0.3">
      <c r="A36" s="246"/>
      <c r="B36" s="270" t="s">
        <v>24</v>
      </c>
      <c r="C36" s="271"/>
      <c r="D36" s="271"/>
      <c r="E36" s="271"/>
    </row>
    <row r="37" spans="1:5" ht="15.75" customHeight="1" x14ac:dyDescent="0.25">
      <c r="A37" s="245"/>
      <c r="B37" s="245"/>
      <c r="C37" s="245"/>
      <c r="D37" s="245"/>
      <c r="E37" s="245"/>
    </row>
    <row r="38" spans="1:5" ht="16.5" customHeight="1" x14ac:dyDescent="0.3">
      <c r="A38" s="241" t="s">
        <v>1</v>
      </c>
      <c r="B38" s="242" t="s">
        <v>25</v>
      </c>
    </row>
    <row r="39" spans="1:5" ht="16.5" customHeight="1" x14ac:dyDescent="0.3">
      <c r="A39" s="246" t="s">
        <v>4</v>
      </c>
      <c r="B39" s="243" t="s">
        <v>141</v>
      </c>
      <c r="C39" s="245"/>
      <c r="D39" s="245"/>
      <c r="E39" s="245"/>
    </row>
    <row r="40" spans="1:5" ht="16.5" customHeight="1" x14ac:dyDescent="0.3">
      <c r="A40" s="246" t="s">
        <v>6</v>
      </c>
      <c r="B40" s="247">
        <v>98.9</v>
      </c>
      <c r="C40" s="245"/>
      <c r="D40" s="245"/>
      <c r="E40" s="245"/>
    </row>
    <row r="41" spans="1:5" ht="16.5" customHeight="1" x14ac:dyDescent="0.3">
      <c r="A41" s="243" t="s">
        <v>8</v>
      </c>
      <c r="B41" s="247">
        <v>28.82</v>
      </c>
      <c r="C41" s="245"/>
      <c r="D41" s="245"/>
      <c r="E41" s="245"/>
    </row>
    <row r="42" spans="1:5" ht="16.5" customHeight="1" x14ac:dyDescent="0.3">
      <c r="A42" s="243" t="s">
        <v>10</v>
      </c>
      <c r="B42" s="248">
        <f>B41/50</f>
        <v>0.57640000000000002</v>
      </c>
      <c r="C42" s="245"/>
      <c r="D42" s="245"/>
      <c r="E42" s="245"/>
    </row>
    <row r="43" spans="1:5" ht="15.75" customHeight="1" x14ac:dyDescent="0.25">
      <c r="A43" s="245"/>
      <c r="B43" s="245"/>
      <c r="C43" s="245"/>
      <c r="D43" s="245"/>
      <c r="E43" s="245"/>
    </row>
    <row r="44" spans="1:5" ht="16.5" customHeight="1" x14ac:dyDescent="0.3">
      <c r="A44" s="249" t="s">
        <v>13</v>
      </c>
      <c r="B44" s="250" t="s">
        <v>14</v>
      </c>
      <c r="C44" s="249" t="s">
        <v>15</v>
      </c>
      <c r="D44" s="249" t="s">
        <v>16</v>
      </c>
      <c r="E44" s="249" t="s">
        <v>17</v>
      </c>
    </row>
    <row r="45" spans="1:5" ht="16.5" customHeight="1" x14ac:dyDescent="0.3">
      <c r="A45" s="251">
        <v>1</v>
      </c>
      <c r="B45" s="252">
        <v>11400397</v>
      </c>
      <c r="C45" s="252">
        <v>675422.9</v>
      </c>
      <c r="D45" s="253">
        <v>1</v>
      </c>
      <c r="E45" s="254">
        <v>25.3</v>
      </c>
    </row>
    <row r="46" spans="1:5" ht="16.5" customHeight="1" x14ac:dyDescent="0.3">
      <c r="A46" s="251">
        <v>2</v>
      </c>
      <c r="B46" s="252">
        <v>11481328</v>
      </c>
      <c r="C46" s="252">
        <v>675355.9</v>
      </c>
      <c r="D46" s="253">
        <v>1</v>
      </c>
      <c r="E46" s="253">
        <v>25.3</v>
      </c>
    </row>
    <row r="47" spans="1:5" ht="16.5" customHeight="1" x14ac:dyDescent="0.3">
      <c r="A47" s="251">
        <v>3</v>
      </c>
      <c r="B47" s="252">
        <v>11434666</v>
      </c>
      <c r="C47" s="252">
        <v>680809.9</v>
      </c>
      <c r="D47" s="253">
        <v>1</v>
      </c>
      <c r="E47" s="253">
        <v>25.3</v>
      </c>
    </row>
    <row r="48" spans="1:5" ht="16.5" customHeight="1" x14ac:dyDescent="0.3">
      <c r="A48" s="251">
        <v>4</v>
      </c>
      <c r="B48" s="252">
        <v>11180468</v>
      </c>
      <c r="C48" s="252">
        <v>681184.6</v>
      </c>
      <c r="D48" s="253">
        <v>1</v>
      </c>
      <c r="E48" s="253">
        <v>25.3</v>
      </c>
    </row>
    <row r="49" spans="1:7" ht="16.5" customHeight="1" x14ac:dyDescent="0.3">
      <c r="A49" s="251">
        <v>5</v>
      </c>
      <c r="B49" s="252">
        <v>11385675</v>
      </c>
      <c r="C49" s="252">
        <v>682090.7</v>
      </c>
      <c r="D49" s="253">
        <v>1</v>
      </c>
      <c r="E49" s="253">
        <v>25.3</v>
      </c>
    </row>
    <row r="50" spans="1:7" ht="16.5" customHeight="1" x14ac:dyDescent="0.3">
      <c r="A50" s="251">
        <v>6</v>
      </c>
      <c r="B50" s="255">
        <v>11310683</v>
      </c>
      <c r="C50" s="255">
        <v>682930.5</v>
      </c>
      <c r="D50" s="256">
        <v>1</v>
      </c>
      <c r="E50" s="256">
        <v>25.3</v>
      </c>
    </row>
    <row r="51" spans="1:7" ht="16.5" customHeight="1" x14ac:dyDescent="0.3">
      <c r="A51" s="257" t="s">
        <v>18</v>
      </c>
      <c r="B51" s="258">
        <f>AVERAGE(B45:B50)</f>
        <v>11365536.166666666</v>
      </c>
      <c r="C51" s="259">
        <f>AVERAGE(C45:C50)</f>
        <v>679632.41666666663</v>
      </c>
      <c r="D51" s="260">
        <f>AVERAGE(D45:D50)</f>
        <v>1</v>
      </c>
      <c r="E51" s="260">
        <f>AVERAGE(E45:E50)</f>
        <v>25.3</v>
      </c>
    </row>
    <row r="52" spans="1:7" ht="16.5" customHeight="1" x14ac:dyDescent="0.3">
      <c r="A52" s="261" t="s">
        <v>19</v>
      </c>
      <c r="B52" s="262">
        <f>(STDEV(B45:B50)/B51)</f>
        <v>9.3997473185884039E-3</v>
      </c>
      <c r="C52" s="263"/>
      <c r="D52" s="263"/>
      <c r="E52" s="264"/>
    </row>
    <row r="53" spans="1:7" s="238" customFormat="1" ht="16.5" customHeight="1" x14ac:dyDescent="0.3">
      <c r="A53" s="265" t="s">
        <v>20</v>
      </c>
      <c r="B53" s="266">
        <f>COUNT(B45:B50)</f>
        <v>6</v>
      </c>
      <c r="C53" s="267"/>
      <c r="D53" s="268"/>
      <c r="E53" s="269"/>
    </row>
    <row r="54" spans="1:7" s="238" customFormat="1" ht="15.75" customHeight="1" x14ac:dyDescent="0.25">
      <c r="A54" s="245"/>
      <c r="B54" s="245"/>
      <c r="C54" s="245"/>
      <c r="D54" s="245"/>
      <c r="E54" s="245"/>
    </row>
    <row r="55" spans="1:7" s="238" customFormat="1" ht="16.5" customHeight="1" x14ac:dyDescent="0.3">
      <c r="A55" s="246" t="s">
        <v>21</v>
      </c>
      <c r="B55" s="270" t="s">
        <v>22</v>
      </c>
      <c r="C55" s="271"/>
      <c r="D55" s="271"/>
      <c r="E55" s="271"/>
    </row>
    <row r="56" spans="1:7" ht="16.5" customHeight="1" x14ac:dyDescent="0.3">
      <c r="A56" s="246"/>
      <c r="B56" s="270" t="s">
        <v>23</v>
      </c>
      <c r="C56" s="271"/>
      <c r="D56" s="271"/>
      <c r="E56" s="271"/>
    </row>
    <row r="57" spans="1:7" ht="16.5" customHeight="1" x14ac:dyDescent="0.3">
      <c r="A57" s="246"/>
      <c r="B57" s="270" t="s">
        <v>24</v>
      </c>
      <c r="C57" s="271"/>
      <c r="D57" s="271"/>
      <c r="E57" s="271"/>
    </row>
    <row r="58" spans="1:7" ht="14.25" customHeight="1" thickBot="1" x14ac:dyDescent="0.3">
      <c r="A58" s="272"/>
      <c r="B58" s="273"/>
      <c r="D58" s="274"/>
      <c r="F58" s="240"/>
      <c r="G58" s="240"/>
    </row>
    <row r="59" spans="1:7" ht="15" customHeight="1" x14ac:dyDescent="0.3">
      <c r="B59" s="656" t="s">
        <v>26</v>
      </c>
      <c r="C59" s="656"/>
      <c r="E59" s="275" t="s">
        <v>27</v>
      </c>
      <c r="F59" s="276"/>
      <c r="G59" s="275" t="s">
        <v>28</v>
      </c>
    </row>
    <row r="60" spans="1:7" ht="15" customHeight="1" x14ac:dyDescent="0.3">
      <c r="A60" s="277" t="s">
        <v>29</v>
      </c>
      <c r="B60" s="278"/>
      <c r="C60" s="278"/>
      <c r="E60" s="278"/>
      <c r="G60" s="278"/>
    </row>
    <row r="61" spans="1:7" ht="15" customHeight="1" x14ac:dyDescent="0.3">
      <c r="A61" s="277" t="s">
        <v>30</v>
      </c>
      <c r="B61" s="279"/>
      <c r="C61" s="279"/>
      <c r="E61" s="279"/>
      <c r="G61" s="28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lam sst</vt:lpstr>
      <vt:lpstr>TDF SST</vt:lpstr>
      <vt:lpstr>Tenofovir Disoproxil Fumurate</vt:lpstr>
      <vt:lpstr>Lamivudine</vt:lpstr>
      <vt:lpstr>Uniformity</vt:lpstr>
      <vt:lpstr>EFAVIRENZ</vt:lpstr>
      <vt:lpstr>SST EFAVIRENZ</vt:lpstr>
      <vt:lpstr>EFAVIRENZ!Print_Area</vt:lpstr>
      <vt:lpstr>Lamivudine!Print_Area</vt:lpstr>
      <vt:lpstr>'Tenofovir Disoproxil Fumurate'!Print_Area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2017-02-01T09:38:59Z</cp:lastPrinted>
  <dcterms:created xsi:type="dcterms:W3CDTF">2005-07-05T10:19:27Z</dcterms:created>
  <dcterms:modified xsi:type="dcterms:W3CDTF">2017-02-01T09:50:56Z</dcterms:modified>
</cp:coreProperties>
</file>