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5015" windowHeight="7110"/>
  </bookViews>
  <sheets>
    <sheet name="SST EFF" sheetId="1" r:id="rId1"/>
    <sheet name="Uniformity" sheetId="2" r:id="rId2"/>
    <sheet name="Tenofovir Disoproxil Fumurate" sheetId="3" r:id="rId3"/>
    <sheet name="Lamivudine" sheetId="4" r:id="rId4"/>
    <sheet name="EFAVIRENZ" sheetId="5" r:id="rId5"/>
    <sheet name="SST TDF" sheetId="6" r:id="rId6"/>
    <sheet name="sst lamivudine" sheetId="7" r:id="rId7"/>
    <sheet name="Sheet1" sheetId="8" r:id="rId8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7" l="1"/>
  <c r="B42" i="6"/>
  <c r="B42" i="1"/>
  <c r="B21" i="6"/>
  <c r="B21" i="1"/>
  <c r="K28" i="8"/>
  <c r="K29" i="8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D68" i="5"/>
  <c r="D64" i="5"/>
  <c r="D60" i="5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4" i="5"/>
  <c r="F42" i="5"/>
  <c r="D42" i="5"/>
  <c r="B34" i="5"/>
  <c r="D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B57" i="5" s="1"/>
  <c r="B69" i="5" s="1"/>
  <c r="C45" i="2"/>
  <c r="D41" i="2"/>
  <c r="D37" i="2"/>
  <c r="D35" i="2"/>
  <c r="D33" i="2"/>
  <c r="D31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5"/>
  <c r="I92" i="4"/>
  <c r="D101" i="4"/>
  <c r="D102" i="4" s="1"/>
  <c r="D97" i="4"/>
  <c r="D98" i="4"/>
  <c r="D99" i="4" s="1"/>
  <c r="I92" i="3"/>
  <c r="D101" i="3"/>
  <c r="I39" i="5"/>
  <c r="F45" i="5"/>
  <c r="F46" i="5" s="1"/>
  <c r="D45" i="5"/>
  <c r="D46" i="5" s="1"/>
  <c r="F98" i="5"/>
  <c r="F99" i="5" s="1"/>
  <c r="I39" i="4"/>
  <c r="D45" i="4"/>
  <c r="D46" i="4" s="1"/>
  <c r="I39" i="3"/>
  <c r="D49" i="3"/>
  <c r="F45" i="3"/>
  <c r="G40" i="3" s="1"/>
  <c r="F98" i="3"/>
  <c r="F99" i="3" s="1"/>
  <c r="E41" i="5"/>
  <c r="D49" i="5"/>
  <c r="G38" i="5"/>
  <c r="D102" i="5"/>
  <c r="D49" i="4"/>
  <c r="F98" i="4"/>
  <c r="F99" i="4" s="1"/>
  <c r="D102" i="3"/>
  <c r="C50" i="2"/>
  <c r="D97" i="3"/>
  <c r="D98" i="3" s="1"/>
  <c r="D99" i="3" s="1"/>
  <c r="F44" i="4"/>
  <c r="F45" i="4" s="1"/>
  <c r="F46" i="4" s="1"/>
  <c r="D97" i="5"/>
  <c r="D98" i="5" s="1"/>
  <c r="D99" i="5" s="1"/>
  <c r="D30" i="2"/>
  <c r="D34" i="2"/>
  <c r="D38" i="2"/>
  <c r="D42" i="2"/>
  <c r="B49" i="2"/>
  <c r="D50" i="2"/>
  <c r="D44" i="3"/>
  <c r="D45" i="3" s="1"/>
  <c r="B57" i="4"/>
  <c r="B69" i="4" s="1"/>
  <c r="D39" i="2"/>
  <c r="D43" i="2"/>
  <c r="C49" i="2"/>
  <c r="D32" i="2"/>
  <c r="D36" i="2"/>
  <c r="D40" i="2"/>
  <c r="D49" i="2"/>
  <c r="B57" i="3"/>
  <c r="B69" i="3" s="1"/>
  <c r="E40" i="4" l="1"/>
  <c r="G93" i="5"/>
  <c r="E94" i="4"/>
  <c r="E91" i="4"/>
  <c r="E93" i="4"/>
  <c r="E92" i="4"/>
  <c r="G92" i="3"/>
  <c r="E38" i="5"/>
  <c r="E39" i="5"/>
  <c r="G41" i="5"/>
  <c r="G40" i="5"/>
  <c r="G92" i="5"/>
  <c r="G91" i="5"/>
  <c r="G94" i="5"/>
  <c r="E40" i="5"/>
  <c r="G39" i="5"/>
  <c r="E39" i="4"/>
  <c r="E38" i="4"/>
  <c r="E41" i="4"/>
  <c r="F46" i="3"/>
  <c r="G39" i="3"/>
  <c r="G41" i="3"/>
  <c r="G38" i="3"/>
  <c r="G91" i="3"/>
  <c r="G94" i="3"/>
  <c r="G93" i="3"/>
  <c r="E41" i="3"/>
  <c r="D46" i="3"/>
  <c r="E39" i="3"/>
  <c r="E40" i="3"/>
  <c r="E38" i="3"/>
  <c r="E93" i="3"/>
  <c r="E91" i="5"/>
  <c r="E92" i="3"/>
  <c r="E94" i="3"/>
  <c r="E91" i="3"/>
  <c r="G40" i="4"/>
  <c r="G41" i="4"/>
  <c r="E93" i="5"/>
  <c r="G94" i="4"/>
  <c r="G93" i="4"/>
  <c r="G39" i="4"/>
  <c r="G38" i="4"/>
  <c r="E92" i="5"/>
  <c r="E94" i="5"/>
  <c r="G92" i="4"/>
  <c r="G91" i="4"/>
  <c r="E95" i="4" l="1"/>
  <c r="D103" i="4"/>
  <c r="E113" i="4" s="1"/>
  <c r="F113" i="4" s="1"/>
  <c r="G42" i="4"/>
  <c r="G95" i="5"/>
  <c r="D50" i="5"/>
  <c r="G67" i="5" s="1"/>
  <c r="H67" i="5" s="1"/>
  <c r="D52" i="5"/>
  <c r="E42" i="5"/>
  <c r="G42" i="5"/>
  <c r="D50" i="4"/>
  <c r="G66" i="4" s="1"/>
  <c r="H66" i="4" s="1"/>
  <c r="E42" i="4"/>
  <c r="G95" i="4"/>
  <c r="G42" i="3"/>
  <c r="G95" i="3"/>
  <c r="D52" i="4"/>
  <c r="D103" i="3"/>
  <c r="E95" i="3"/>
  <c r="D105" i="3"/>
  <c r="D103" i="5"/>
  <c r="E95" i="5"/>
  <c r="D105" i="5"/>
  <c r="D105" i="4"/>
  <c r="D50" i="3"/>
  <c r="E42" i="3"/>
  <c r="D52" i="3"/>
  <c r="E110" i="4" l="1"/>
  <c r="F110" i="4" s="1"/>
  <c r="E112" i="4"/>
  <c r="F112" i="4" s="1"/>
  <c r="E109" i="4"/>
  <c r="F109" i="4" s="1"/>
  <c r="D104" i="4"/>
  <c r="E111" i="4"/>
  <c r="F111" i="4" s="1"/>
  <c r="E108" i="4"/>
  <c r="G66" i="5"/>
  <c r="H66" i="5" s="1"/>
  <c r="G71" i="5"/>
  <c r="H71" i="5" s="1"/>
  <c r="G70" i="5"/>
  <c r="H70" i="5" s="1"/>
  <c r="D51" i="5"/>
  <c r="G69" i="5"/>
  <c r="H69" i="5" s="1"/>
  <c r="G65" i="5"/>
  <c r="H65" i="5" s="1"/>
  <c r="G64" i="5"/>
  <c r="H64" i="5" s="1"/>
  <c r="G68" i="5"/>
  <c r="H68" i="5" s="1"/>
  <c r="G61" i="4"/>
  <c r="H61" i="4" s="1"/>
  <c r="G62" i="4"/>
  <c r="H62" i="4" s="1"/>
  <c r="G60" i="4"/>
  <c r="H60" i="4" s="1"/>
  <c r="G68" i="4"/>
  <c r="H68" i="4" s="1"/>
  <c r="G65" i="4"/>
  <c r="H65" i="4" s="1"/>
  <c r="G69" i="4"/>
  <c r="H69" i="4" s="1"/>
  <c r="G70" i="4"/>
  <c r="H70" i="4" s="1"/>
  <c r="G71" i="4"/>
  <c r="H71" i="4" s="1"/>
  <c r="G67" i="4"/>
  <c r="H67" i="4" s="1"/>
  <c r="G64" i="4"/>
  <c r="H64" i="4" s="1"/>
  <c r="G63" i="4"/>
  <c r="H63" i="4" s="1"/>
  <c r="D51" i="4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E115" i="4" l="1"/>
  <c r="E116" i="4" s="1"/>
  <c r="E117" i="4"/>
  <c r="E120" i="4"/>
  <c r="E119" i="4"/>
  <c r="F108" i="4"/>
  <c r="F117" i="4" s="1"/>
  <c r="G72" i="4"/>
  <c r="G73" i="4" s="1"/>
  <c r="G74" i="4"/>
  <c r="E120" i="5"/>
  <c r="E117" i="5"/>
  <c r="F108" i="5"/>
  <c r="E115" i="5"/>
  <c r="E116" i="5" s="1"/>
  <c r="E119" i="5"/>
  <c r="E120" i="3"/>
  <c r="E117" i="3"/>
  <c r="F108" i="3"/>
  <c r="E115" i="3"/>
  <c r="E116" i="3" s="1"/>
  <c r="E119" i="3"/>
  <c r="H74" i="4"/>
  <c r="H72" i="4"/>
  <c r="G74" i="3"/>
  <c r="G72" i="3"/>
  <c r="G73" i="3" s="1"/>
  <c r="H60" i="3"/>
  <c r="F120" i="4" l="1"/>
  <c r="F125" i="4"/>
  <c r="F115" i="4"/>
  <c r="G124" i="4" s="1"/>
  <c r="D125" i="4"/>
  <c r="F119" i="4"/>
  <c r="H74" i="3"/>
  <c r="H72" i="3"/>
  <c r="F125" i="5"/>
  <c r="F120" i="5"/>
  <c r="F117" i="5"/>
  <c r="D125" i="5"/>
  <c r="F115" i="5"/>
  <c r="F119" i="5"/>
  <c r="G76" i="4"/>
  <c r="H73" i="4"/>
  <c r="F125" i="3"/>
  <c r="F120" i="3"/>
  <c r="F117" i="3"/>
  <c r="D125" i="3"/>
  <c r="F115" i="3"/>
  <c r="F119" i="3"/>
  <c r="F116" i="4" l="1"/>
  <c r="G124" i="3"/>
  <c r="F116" i="3"/>
  <c r="G76" i="3"/>
  <c r="H73" i="3"/>
  <c r="G124" i="5"/>
  <c r="F116" i="5"/>
  <c r="G61" i="5"/>
  <c r="H61" i="5" s="1"/>
  <c r="G62" i="5"/>
  <c r="H62" i="5" s="1"/>
  <c r="G63" i="5"/>
  <c r="H63" i="5" s="1"/>
  <c r="G60" i="5"/>
  <c r="G72" i="5" l="1"/>
  <c r="G73" i="5" s="1"/>
  <c r="H60" i="5"/>
  <c r="H74" i="5" s="1"/>
  <c r="G74" i="5"/>
  <c r="H72" i="5" l="1"/>
  <c r="G76" i="5" s="1"/>
  <c r="H73" i="5" l="1"/>
</calcChain>
</file>

<file path=xl/sharedStrings.xml><?xml version="1.0" encoding="utf-8"?>
<sst xmlns="http://schemas.openxmlformats.org/spreadsheetml/2006/main" count="668" uniqueCount="138">
  <si>
    <t>HPLC System Suitability Report</t>
  </si>
  <si>
    <t>Analysis Data</t>
  </si>
  <si>
    <t>Assay</t>
  </si>
  <si>
    <t>Sample(s)</t>
  </si>
  <si>
    <t>Reference Substance:</t>
  </si>
  <si>
    <t>EFAVIRENZ, LAMIVUDINE AND TENOFOVIR DISOPROXIL FUMARATE TABLETS 600 MG/ 300 MG/ 300 MG</t>
  </si>
  <si>
    <t>% age Purity:</t>
  </si>
  <si>
    <t>NDQB201701318r1</t>
  </si>
  <si>
    <t>Weight (mg):</t>
  </si>
  <si>
    <t xml:space="preserve">Efavirenz , Lamivudine  and Tenofovir Disoproxil Fumarate </t>
  </si>
  <si>
    <t>Standard Conc (mg/mL):</t>
  </si>
  <si>
    <t>Each film coated tablet contains Efavirenz 600mg, lamivudine 300mg and Tenofovir Disoproxil Fumarate 300 mg equivalent to Tenofovir Disoproxil 245 mg.</t>
  </si>
  <si>
    <t>2017-01-11 09:01:30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</si>
  <si>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</si>
  <si>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</si>
  <si>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</si>
  <si>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</si>
  <si>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</si>
  <si>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</si>
  <si>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</si>
  <si>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</si>
  <si>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</si>
  <si>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</si>
  <si>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</si>
  <si>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</si>
  <si>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</si>
  <si>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</si>
  <si>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</si>
  <si>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</si>
  <si>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</si>
  <si>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</si>
  <si>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</si>
  <si>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</si>
  <si>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</si>
  <si>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</si>
  <si>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</si>
  <si>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</si>
  <si>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</si>
  <si>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</si>
  <si>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</si>
  <si>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</si>
  <si>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</si>
  <si>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</si>
  <si>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</si>
  <si>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</si>
  <si>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</si>
  <si>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</si>
  <si>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</si>
  <si>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</si>
  <si>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</si>
  <si>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</si>
  <si>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</si>
  <si>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</si>
  <si>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</si>
  <si>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</si>
  <si>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</si>
  <si>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</si>
  <si>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</si>
  <si>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</si>
  <si>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</si>
  <si>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</si>
  <si>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</si>
  <si>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</si>
  <si>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</si>
  <si>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</si>
  <si>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</si>
  <si>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</si>
  <si>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</si>
  <si>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</si>
  <si>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</si>
  <si>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</si>
  <si>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</si>
  <si>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</si>
  <si>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</si>
  <si>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</si>
  <si>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</si>
  <si>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</si>
  <si>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</si>
  <si>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</si>
  <si>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</si>
  <si>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</si>
  <si>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</si>
  <si>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</si>
  <si>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</si>
  <si>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</si>
  <si>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</si>
  <si>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</si>
  <si>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</si>
  <si>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</si>
  <si>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</si>
  <si>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</si>
  <si>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</si>
  <si>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</si>
  <si>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</si>
  <si>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</si>
  <si>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</si>
  <si>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</si>
  <si>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</si>
  <si>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</si>
  <si>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</si>
  <si>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</si>
  <si>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</si>
  <si>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</si>
  <si>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</si>
  <si>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</si>
  <si>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</si>
  <si>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</si>
  <si>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</si>
  <si>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</si>
  <si>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</si>
  <si>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</si>
  <si>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</si>
  <si>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</si>
  <si>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</si>
  <si>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</si>
  <si>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</si>
  <si>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</si>
  <si>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</si>
  <si>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</si>
  <si>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</si>
  <si>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</si>
  <si>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</si>
  <si>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</si>
  <si>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</si>
  <si>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</si>
  <si>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</si>
  <si>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</si>
  <si>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</si>
  <si>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</si>
  <si>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</si>
  <si>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</si>
  <si>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Tenoovir Disoproxil Fumurate</t>
  </si>
  <si>
    <t>T11-8</t>
  </si>
  <si>
    <t>Lamivudine</t>
  </si>
  <si>
    <t>l42-1</t>
  </si>
  <si>
    <t>Efavirenz</t>
  </si>
  <si>
    <t>ndqe201610156</t>
  </si>
  <si>
    <t>Tenofovir Disoproxil Fumurate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</si>
</sst>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2" workbookViewId="0">
      <selection activeCell="B62" sqref="B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99.69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27.34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B20/25*5/50</f>
        <v>0.10936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8990754</v>
      </c>
      <c r="C24" s="18">
        <v>730521.5</v>
      </c>
      <c r="D24" s="19">
        <v>1.1000000000000001</v>
      </c>
      <c r="E24" s="20">
        <v>25.49</v>
      </c>
    </row>
    <row r="25" spans="1:6" ht="16.5" customHeight="1" x14ac:dyDescent="0.3">
      <c r="A25" s="17">
        <v>2</v>
      </c>
      <c r="B25" s="18">
        <v>9002750</v>
      </c>
      <c r="C25" s="18">
        <v>718736.7</v>
      </c>
      <c r="D25" s="19">
        <v>1.06</v>
      </c>
      <c r="E25" s="19">
        <v>25.49</v>
      </c>
    </row>
    <row r="26" spans="1:6" ht="16.5" customHeight="1" x14ac:dyDescent="0.3">
      <c r="A26" s="17">
        <v>3</v>
      </c>
      <c r="B26" s="18">
        <v>8900888</v>
      </c>
      <c r="C26" s="18">
        <v>718882.6</v>
      </c>
      <c r="D26" s="19">
        <v>1.05</v>
      </c>
      <c r="E26" s="19">
        <v>25.49</v>
      </c>
    </row>
    <row r="27" spans="1:6" ht="16.5" customHeight="1" x14ac:dyDescent="0.3">
      <c r="A27" s="17">
        <v>4</v>
      </c>
      <c r="B27" s="18">
        <v>8974774</v>
      </c>
      <c r="C27" s="18">
        <v>720734.5</v>
      </c>
      <c r="D27" s="19">
        <v>1.05</v>
      </c>
      <c r="E27" s="19">
        <v>25.49</v>
      </c>
    </row>
    <row r="28" spans="1:6" ht="16.5" customHeight="1" x14ac:dyDescent="0.3">
      <c r="A28" s="17">
        <v>5</v>
      </c>
      <c r="B28" s="18">
        <v>8956373</v>
      </c>
      <c r="C28" s="18">
        <v>727297.6</v>
      </c>
      <c r="D28" s="19">
        <v>1.07</v>
      </c>
      <c r="E28" s="19">
        <v>25.49</v>
      </c>
    </row>
    <row r="29" spans="1:6" ht="16.5" customHeight="1" x14ac:dyDescent="0.3">
      <c r="A29" s="17">
        <v>6</v>
      </c>
      <c r="B29" s="21">
        <v>9093466</v>
      </c>
      <c r="C29" s="21">
        <v>724465.06</v>
      </c>
      <c r="D29" s="22">
        <v>1.06</v>
      </c>
      <c r="E29" s="22">
        <v>25.49</v>
      </c>
    </row>
    <row r="30" spans="1:6" ht="16.5" customHeight="1" x14ac:dyDescent="0.3">
      <c r="A30" s="23" t="s">
        <v>18</v>
      </c>
      <c r="B30" s="24">
        <f>AVERAGE(B24:B29)</f>
        <v>8986500.833333334</v>
      </c>
      <c r="C30" s="25">
        <f>AVERAGE(C24:C29)</f>
        <v>723439.66</v>
      </c>
      <c r="D30" s="26">
        <f>AVERAGE(D24:D29)</f>
        <v>1.0650000000000002</v>
      </c>
      <c r="E30" s="26">
        <f>AVERAGE(E24:E29)</f>
        <v>25.49</v>
      </c>
    </row>
    <row r="31" spans="1:6" ht="16.5" customHeight="1" x14ac:dyDescent="0.3">
      <c r="A31" s="27" t="s">
        <v>19</v>
      </c>
      <c r="B31" s="28">
        <f>(STDEV(B24:B29)/B30)</f>
        <v>7.0551375932406081E-3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99.69</v>
      </c>
      <c r="C40" s="10"/>
      <c r="D40" s="10"/>
      <c r="E40" s="10"/>
    </row>
    <row r="41" spans="1:6" ht="16.5" customHeight="1" x14ac:dyDescent="0.3">
      <c r="A41" s="7" t="s">
        <v>8</v>
      </c>
      <c r="B41" s="12">
        <v>31.27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B41/25*10/20</f>
        <v>0.62539999999999996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89449812</v>
      </c>
      <c r="C45" s="18">
        <v>675983.88</v>
      </c>
      <c r="D45" s="19">
        <v>1.08</v>
      </c>
      <c r="E45" s="20">
        <v>25.49</v>
      </c>
    </row>
    <row r="46" spans="1:6" ht="16.5" customHeight="1" x14ac:dyDescent="0.3">
      <c r="A46" s="17">
        <v>2</v>
      </c>
      <c r="B46" s="18">
        <v>89450126</v>
      </c>
      <c r="C46" s="18">
        <v>685360.38</v>
      </c>
      <c r="D46" s="19">
        <v>1.1100000000000001</v>
      </c>
      <c r="E46" s="19">
        <v>25.49</v>
      </c>
    </row>
    <row r="47" spans="1:6" ht="16.5" customHeight="1" x14ac:dyDescent="0.3">
      <c r="A47" s="17">
        <v>3</v>
      </c>
      <c r="B47" s="18">
        <v>89432974</v>
      </c>
      <c r="C47" s="18">
        <v>698890.56</v>
      </c>
      <c r="D47" s="19">
        <v>1.04</v>
      </c>
      <c r="E47" s="19">
        <v>25.49</v>
      </c>
    </row>
    <row r="48" spans="1:6" ht="16.5" customHeight="1" x14ac:dyDescent="0.3">
      <c r="A48" s="17">
        <v>4</v>
      </c>
      <c r="B48" s="18">
        <v>89116630</v>
      </c>
      <c r="C48" s="18">
        <v>704801.5</v>
      </c>
      <c r="D48" s="19">
        <v>1.06</v>
      </c>
      <c r="E48" s="19">
        <v>25.49</v>
      </c>
    </row>
    <row r="49" spans="1:7" ht="16.5" customHeight="1" x14ac:dyDescent="0.3">
      <c r="A49" s="17">
        <v>5</v>
      </c>
      <c r="B49" s="18">
        <v>89394673</v>
      </c>
      <c r="C49" s="18">
        <v>705533.81</v>
      </c>
      <c r="D49" s="19">
        <v>1.08</v>
      </c>
      <c r="E49" s="19">
        <v>25.49</v>
      </c>
    </row>
    <row r="50" spans="1:7" ht="16.5" customHeight="1" x14ac:dyDescent="0.3">
      <c r="A50" s="17">
        <v>6</v>
      </c>
      <c r="B50" s="21">
        <v>89521109</v>
      </c>
      <c r="C50" s="21">
        <v>702719.94</v>
      </c>
      <c r="D50" s="22">
        <v>1.1200000000000001</v>
      </c>
      <c r="E50" s="22">
        <v>25.49</v>
      </c>
    </row>
    <row r="51" spans="1:7" ht="16.5" customHeight="1" x14ac:dyDescent="0.3">
      <c r="A51" s="23" t="s">
        <v>18</v>
      </c>
      <c r="B51" s="24">
        <f>AVERAGE(B45:B50)</f>
        <v>89394220.666666672</v>
      </c>
      <c r="C51" s="25">
        <f>AVERAGE(C45:C50)</f>
        <v>695548.34500000009</v>
      </c>
      <c r="D51" s="26">
        <f>AVERAGE(D45:D50)</f>
        <v>1.0816666666666668</v>
      </c>
      <c r="E51" s="26">
        <f>AVERAGE(E45:E50)</f>
        <v>25.49</v>
      </c>
    </row>
    <row r="52" spans="1:7" ht="16.5" customHeight="1" x14ac:dyDescent="0.3">
      <c r="A52" s="27" t="s">
        <v>19</v>
      </c>
      <c r="B52" s="28">
        <f>(STDEV(B45:B50)/B51)</f>
        <v>1.588903232089268E-3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48" sqref="B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4" t="s">
        <v>31</v>
      </c>
      <c r="B11" s="665"/>
      <c r="C11" s="665"/>
      <c r="D11" s="665"/>
      <c r="E11" s="665"/>
      <c r="F11" s="666"/>
      <c r="G11" s="91"/>
    </row>
    <row r="12" spans="1:7" ht="16.5" customHeight="1" x14ac:dyDescent="0.3">
      <c r="A12" s="663" t="s">
        <v>32</v>
      </c>
      <c r="B12" s="663"/>
      <c r="C12" s="663"/>
      <c r="D12" s="663"/>
      <c r="E12" s="663"/>
      <c r="F12" s="663"/>
      <c r="G12" s="90"/>
    </row>
    <row r="14" spans="1:7" ht="16.5" customHeight="1" x14ac:dyDescent="0.3">
      <c r="A14" s="668" t="s">
        <v>33</v>
      </c>
      <c r="B14" s="668"/>
      <c r="C14" s="60" t="s">
        <v>5</v>
      </c>
    </row>
    <row r="15" spans="1:7" ht="16.5" customHeight="1" x14ac:dyDescent="0.3">
      <c r="A15" s="668" t="s">
        <v>34</v>
      </c>
      <c r="B15" s="668"/>
      <c r="C15" s="60" t="s">
        <v>7</v>
      </c>
    </row>
    <row r="16" spans="1:7" ht="16.5" customHeight="1" x14ac:dyDescent="0.3">
      <c r="A16" s="668" t="s">
        <v>35</v>
      </c>
      <c r="B16" s="668"/>
      <c r="C16" s="60" t="s">
        <v>9</v>
      </c>
    </row>
    <row r="17" spans="1:5" ht="16.5" customHeight="1" x14ac:dyDescent="0.3">
      <c r="A17" s="668" t="s">
        <v>36</v>
      </c>
      <c r="B17" s="668"/>
      <c r="C17" s="60" t="s">
        <v>11</v>
      </c>
    </row>
    <row r="18" spans="1:5" ht="16.5" customHeight="1" x14ac:dyDescent="0.3">
      <c r="A18" s="668" t="s">
        <v>37</v>
      </c>
      <c r="B18" s="668"/>
      <c r="C18" s="97" t="s">
        <v>12</v>
      </c>
    </row>
    <row r="19" spans="1:5" ht="16.5" customHeight="1" x14ac:dyDescent="0.3">
      <c r="A19" s="668" t="s">
        <v>38</v>
      </c>
      <c r="B19" s="66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3" t="s">
        <v>1</v>
      </c>
      <c r="B21" s="663"/>
      <c r="C21" s="59" t="s">
        <v>39</v>
      </c>
      <c r="D21" s="66"/>
    </row>
    <row r="22" spans="1:5" ht="15.75" customHeight="1" x14ac:dyDescent="0.3">
      <c r="A22" s="667"/>
      <c r="B22" s="667"/>
      <c r="C22" s="57"/>
      <c r="D22" s="667"/>
      <c r="E22" s="66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1748.51</v>
      </c>
      <c r="D24" s="87">
        <f t="shared" ref="D24:D43" si="0">(C24-$C$46)/$C$46</f>
        <v>-9.5986532657852362E-3</v>
      </c>
      <c r="E24" s="53"/>
    </row>
    <row r="25" spans="1:5" ht="15.75" customHeight="1" x14ac:dyDescent="0.3">
      <c r="C25" s="95">
        <v>1760.94</v>
      </c>
      <c r="D25" s="88">
        <f t="shared" si="0"/>
        <v>-2.5579793549089166E-3</v>
      </c>
      <c r="E25" s="53"/>
    </row>
    <row r="26" spans="1:5" ht="15.75" customHeight="1" x14ac:dyDescent="0.3">
      <c r="C26" s="95">
        <v>1776.36</v>
      </c>
      <c r="D26" s="88">
        <f t="shared" si="0"/>
        <v>6.1763079906832956E-3</v>
      </c>
      <c r="E26" s="53"/>
    </row>
    <row r="27" spans="1:5" ht="15.75" customHeight="1" x14ac:dyDescent="0.3">
      <c r="C27" s="95">
        <v>1767.27</v>
      </c>
      <c r="D27" s="88">
        <f t="shared" si="0"/>
        <v>1.027496578787492E-3</v>
      </c>
      <c r="E27" s="53"/>
    </row>
    <row r="28" spans="1:5" ht="15.75" customHeight="1" x14ac:dyDescent="0.3">
      <c r="C28" s="95">
        <v>1774.51</v>
      </c>
      <c r="D28" s="88">
        <f t="shared" si="0"/>
        <v>5.12842007957143E-3</v>
      </c>
      <c r="E28" s="53"/>
    </row>
    <row r="29" spans="1:5" ht="15.75" customHeight="1" x14ac:dyDescent="0.3">
      <c r="C29" s="95">
        <v>1764.52</v>
      </c>
      <c r="D29" s="88">
        <f t="shared" si="0"/>
        <v>-5.3017464043292448E-4</v>
      </c>
      <c r="E29" s="53"/>
    </row>
    <row r="30" spans="1:5" ht="15.75" customHeight="1" x14ac:dyDescent="0.3">
      <c r="C30" s="95">
        <v>1771.52</v>
      </c>
      <c r="D30" s="88">
        <f t="shared" si="0"/>
        <v>3.4348066448554085E-3</v>
      </c>
      <c r="E30" s="53"/>
    </row>
    <row r="31" spans="1:5" ht="15.75" customHeight="1" x14ac:dyDescent="0.3">
      <c r="C31" s="95">
        <v>1766.14</v>
      </c>
      <c r="D31" s="88">
        <f t="shared" si="0"/>
        <v>3.8743531416244247E-4</v>
      </c>
      <c r="E31" s="53"/>
    </row>
    <row r="32" spans="1:5" ht="15.75" customHeight="1" x14ac:dyDescent="0.3">
      <c r="C32" s="95">
        <v>1759.45</v>
      </c>
      <c r="D32" s="88">
        <f t="shared" si="0"/>
        <v>-3.4019539427774382E-3</v>
      </c>
      <c r="E32" s="53"/>
    </row>
    <row r="33" spans="1:7" ht="15.75" customHeight="1" x14ac:dyDescent="0.3">
      <c r="C33" s="95">
        <v>1765.24</v>
      </c>
      <c r="D33" s="88">
        <f t="shared" si="0"/>
        <v>-1.2234799394610904E-4</v>
      </c>
      <c r="E33" s="53"/>
    </row>
    <row r="34" spans="1:7" ht="15.75" customHeight="1" x14ac:dyDescent="0.3">
      <c r="C34" s="95">
        <v>1741.07</v>
      </c>
      <c r="D34" s="88">
        <f t="shared" si="0"/>
        <v>-1.3812861946148867E-2</v>
      </c>
      <c r="E34" s="53"/>
    </row>
    <row r="35" spans="1:7" ht="15.75" customHeight="1" x14ac:dyDescent="0.3">
      <c r="C35" s="95">
        <v>1757.39</v>
      </c>
      <c r="D35" s="88">
        <f t="shared" si="0"/>
        <v>-4.5687912924479738E-3</v>
      </c>
      <c r="E35" s="53"/>
    </row>
    <row r="36" spans="1:7" ht="15.75" customHeight="1" x14ac:dyDescent="0.3">
      <c r="C36" s="95">
        <v>1735.43</v>
      </c>
      <c r="D36" s="88">
        <f t="shared" si="0"/>
        <v>-1.7007504010295393E-2</v>
      </c>
      <c r="E36" s="53"/>
    </row>
    <row r="37" spans="1:7" ht="15.75" customHeight="1" x14ac:dyDescent="0.3">
      <c r="C37" s="95">
        <v>1759.27</v>
      </c>
      <c r="D37" s="88">
        <f t="shared" si="0"/>
        <v>-3.5039106043991742E-3</v>
      </c>
      <c r="E37" s="53"/>
    </row>
    <row r="38" spans="1:7" ht="15.75" customHeight="1" x14ac:dyDescent="0.3">
      <c r="C38" s="95">
        <v>1792.32</v>
      </c>
      <c r="D38" s="88">
        <f t="shared" si="0"/>
        <v>1.5216465321140715E-2</v>
      </c>
      <c r="E38" s="53"/>
    </row>
    <row r="39" spans="1:7" ht="15.75" customHeight="1" x14ac:dyDescent="0.3">
      <c r="C39" s="95">
        <v>1764.46</v>
      </c>
      <c r="D39" s="88">
        <f t="shared" si="0"/>
        <v>-5.641601943067936E-4</v>
      </c>
      <c r="E39" s="53"/>
    </row>
    <row r="40" spans="1:7" ht="15.75" customHeight="1" x14ac:dyDescent="0.3">
      <c r="C40" s="95">
        <v>1778.73</v>
      </c>
      <c r="D40" s="88">
        <f t="shared" si="0"/>
        <v>7.5187373687024125E-3</v>
      </c>
      <c r="E40" s="53"/>
    </row>
    <row r="41" spans="1:7" ht="15.75" customHeight="1" x14ac:dyDescent="0.3">
      <c r="C41" s="95">
        <v>1769.51</v>
      </c>
      <c r="D41" s="88">
        <f t="shared" si="0"/>
        <v>2.296290590079764E-3</v>
      </c>
      <c r="E41" s="53"/>
    </row>
    <row r="42" spans="1:7" ht="15.75" customHeight="1" x14ac:dyDescent="0.3">
      <c r="C42" s="95">
        <v>1779.91</v>
      </c>
      <c r="D42" s="88">
        <f t="shared" si="0"/>
        <v>8.1871199282224812E-3</v>
      </c>
      <c r="E42" s="53"/>
    </row>
    <row r="43" spans="1:7" ht="16.5" customHeight="1" x14ac:dyDescent="0.3">
      <c r="C43" s="96">
        <v>1776.57</v>
      </c>
      <c r="D43" s="89">
        <f t="shared" si="0"/>
        <v>6.295257429241966E-3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35309.120000000003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1765.4560000000001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1">
        <f>C46</f>
        <v>1765.4560000000001</v>
      </c>
      <c r="C49" s="93">
        <f>-IF(C46&lt;=80,10%,IF(C46&lt;250,7.5%,5%))</f>
        <v>-0.05</v>
      </c>
      <c r="D49" s="81">
        <f>IF(C46&lt;=80,C46*0.9,IF(C46&lt;250,C46*0.925,C46*0.95))</f>
        <v>1677.1831999999999</v>
      </c>
    </row>
    <row r="50" spans="1:6" ht="17.25" customHeight="1" x14ac:dyDescent="0.3">
      <c r="B50" s="662"/>
      <c r="C50" s="94">
        <f>IF(C46&lt;=80, 10%, IF(C46&lt;250, 7.5%, 5%))</f>
        <v>0.05</v>
      </c>
      <c r="D50" s="81">
        <f>IF(C46&lt;=80, C46*1.1, IF(C46&lt;250, C46*1.075, C46*1.05))</f>
        <v>1853.7288000000003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9" zoomScale="44" zoomScaleNormal="40" zoomScalePageLayoutView="44" workbookViewId="0">
      <selection activeCell="A129" sqref="A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98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100" t="s">
        <v>33</v>
      </c>
      <c r="B18" s="671" t="s">
        <v>5</v>
      </c>
      <c r="C18" s="671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676" t="s">
        <v>9</v>
      </c>
      <c r="C20" s="67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671" t="s">
        <v>131</v>
      </c>
      <c r="C26" s="671"/>
    </row>
    <row r="27" spans="1:14" ht="26.25" customHeight="1" x14ac:dyDescent="0.4">
      <c r="A27" s="109" t="s">
        <v>48</v>
      </c>
      <c r="B27" s="677" t="s">
        <v>132</v>
      </c>
      <c r="C27" s="677"/>
    </row>
    <row r="28" spans="1:14" ht="27" customHeight="1" x14ac:dyDescent="0.4">
      <c r="A28" s="109" t="s">
        <v>6</v>
      </c>
      <c r="B28" s="110">
        <v>98.8</v>
      </c>
    </row>
    <row r="29" spans="1:14" s="14" customFormat="1" ht="27" customHeight="1" x14ac:dyDescent="0.4">
      <c r="A29" s="109" t="s">
        <v>49</v>
      </c>
      <c r="B29" s="111">
        <v>0</v>
      </c>
      <c r="C29" s="678" t="s">
        <v>50</v>
      </c>
      <c r="D29" s="679"/>
      <c r="E29" s="679"/>
      <c r="F29" s="679"/>
      <c r="G29" s="68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1" t="s">
        <v>53</v>
      </c>
      <c r="D31" s="682"/>
      <c r="E31" s="682"/>
      <c r="F31" s="682"/>
      <c r="G31" s="682"/>
      <c r="H31" s="68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1" t="s">
        <v>55</v>
      </c>
      <c r="D32" s="682"/>
      <c r="E32" s="682"/>
      <c r="F32" s="682"/>
      <c r="G32" s="682"/>
      <c r="H32" s="68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684" t="s">
        <v>59</v>
      </c>
      <c r="E36" s="685"/>
      <c r="F36" s="684" t="s">
        <v>60</v>
      </c>
      <c r="G36" s="68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2191059</v>
      </c>
      <c r="E38" s="133">
        <f>IF(ISBLANK(D38),"-",$D$48/$D$45*D38)</f>
        <v>2376076.1278195488</v>
      </c>
      <c r="F38" s="132">
        <v>1966591</v>
      </c>
      <c r="G38" s="134">
        <f>IF(ISBLANK(F38),"-",$D$48/$F$45*F38)</f>
        <v>2439309.706676193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2185739</v>
      </c>
      <c r="E39" s="138">
        <f>IF(ISBLANK(D39),"-",$D$48/$D$45*D39)</f>
        <v>2370306.8970503183</v>
      </c>
      <c r="F39" s="137">
        <v>1964417</v>
      </c>
      <c r="G39" s="139">
        <f>IF(ISBLANK(F39),"-",$D$48/$F$45*F39)</f>
        <v>2436613.1320949434</v>
      </c>
      <c r="I39" s="688">
        <f>ABS((F43/D43*D42)-F42)/D42</f>
        <v>2.07568588040653E-2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2177812</v>
      </c>
      <c r="E40" s="138">
        <f>IF(ISBLANK(D40),"-",$D$48/$D$45*D40)</f>
        <v>2361710.5263157897</v>
      </c>
      <c r="F40" s="137">
        <v>1935647</v>
      </c>
      <c r="G40" s="139">
        <f>IF(ISBLANK(F40),"-",$D$48/$F$45*F40)</f>
        <v>2400927.5521949674</v>
      </c>
      <c r="I40" s="68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2184870</v>
      </c>
      <c r="E42" s="148">
        <f>AVERAGE(E38:E41)</f>
        <v>2369364.5170618854</v>
      </c>
      <c r="F42" s="147">
        <f>AVERAGE(F38:F41)</f>
        <v>1955551.6666666667</v>
      </c>
      <c r="G42" s="149">
        <f>AVERAGE(G38:G41)</f>
        <v>2425616.7969887014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14</v>
      </c>
      <c r="E43" s="140"/>
      <c r="F43" s="152">
        <v>12.24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14</v>
      </c>
      <c r="E44" s="155"/>
      <c r="F44" s="154">
        <f>F43*$B$34</f>
        <v>12.24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13.832000000000001</v>
      </c>
      <c r="E45" s="158"/>
      <c r="F45" s="157">
        <f>F44*$B$30/100</f>
        <v>12.093119999999999</v>
      </c>
      <c r="H45" s="150"/>
    </row>
    <row r="46" spans="1:14" ht="19.5" customHeight="1" x14ac:dyDescent="0.3">
      <c r="A46" s="689" t="s">
        <v>78</v>
      </c>
      <c r="B46" s="690"/>
      <c r="C46" s="153" t="s">
        <v>79</v>
      </c>
      <c r="D46" s="159">
        <f>D45/$B$45</f>
        <v>5.5328000000000002E-2</v>
      </c>
      <c r="E46" s="160"/>
      <c r="F46" s="161">
        <f>F45/$B$45</f>
        <v>4.8372479999999995E-2</v>
      </c>
      <c r="H46" s="150"/>
    </row>
    <row r="47" spans="1:14" ht="27" customHeight="1" x14ac:dyDescent="0.4">
      <c r="A47" s="691"/>
      <c r="B47" s="692"/>
      <c r="C47" s="162" t="s">
        <v>80</v>
      </c>
      <c r="D47" s="163">
        <v>0.06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2397490.6570252934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1.4167956299476082E-2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 xml:space="preserve">Efavirenz , Lamivudine  and Tenofovir Disoproxil Fumarate </v>
      </c>
      <c r="H56" s="179"/>
    </row>
    <row r="57" spans="1:12" ht="18.75" x14ac:dyDescent="0.3">
      <c r="A57" s="176" t="s">
        <v>88</v>
      </c>
      <c r="B57" s="247">
        <f>Uniformity!C46</f>
        <v>1765.4560000000001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693" t="s">
        <v>94</v>
      </c>
      <c r="D60" s="696">
        <v>1800</v>
      </c>
      <c r="E60" s="182">
        <v>1</v>
      </c>
      <c r="F60" s="183">
        <v>2536718</v>
      </c>
      <c r="G60" s="248">
        <f>IF(ISBLANK(F60),"-",(F60/$D$50*$D$47*$B$68)*($B$57/$D$60))</f>
        <v>311.32995939489859</v>
      </c>
      <c r="H60" s="266">
        <f t="shared" ref="H60:H71" si="0">IF(ISBLANK(F60),"-",(G60/$B$56)*100)</f>
        <v>103.77665313163287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694"/>
      <c r="D61" s="697"/>
      <c r="E61" s="184">
        <v>2</v>
      </c>
      <c r="F61" s="137">
        <v>2520812</v>
      </c>
      <c r="G61" s="249">
        <f>IF(ISBLANK(F61),"-",(F61/$D$50*$D$47*$B$68)*($B$57/$D$60))</f>
        <v>309.37782504881233</v>
      </c>
      <c r="H61" s="267">
        <f t="shared" si="0"/>
        <v>103.12594168293745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94"/>
      <c r="D62" s="697"/>
      <c r="E62" s="184">
        <v>3</v>
      </c>
      <c r="F62" s="185">
        <v>2498335</v>
      </c>
      <c r="G62" s="249">
        <f>IF(ISBLANK(F62),"-",(F62/$D$50*$D$47*$B$68)*($B$57/$D$60))</f>
        <v>306.61923560476725</v>
      </c>
      <c r="H62" s="267">
        <f t="shared" si="0"/>
        <v>102.20641186825574</v>
      </c>
      <c r="L62" s="112"/>
    </row>
    <row r="63" spans="1:12" ht="27" customHeight="1" x14ac:dyDescent="0.4">
      <c r="A63" s="124" t="s">
        <v>97</v>
      </c>
      <c r="B63" s="125">
        <v>1</v>
      </c>
      <c r="C63" s="695"/>
      <c r="D63" s="698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93" t="s">
        <v>99</v>
      </c>
      <c r="D64" s="696">
        <v>1752.9</v>
      </c>
      <c r="E64" s="182">
        <v>1</v>
      </c>
      <c r="F64" s="183">
        <v>2418325</v>
      </c>
      <c r="G64" s="248">
        <f>IF(ISBLANK(F64),"-",(F64/$D$50*$D$47*$B$68)*($B$57/$D$64))</f>
        <v>304.77458882110722</v>
      </c>
      <c r="H64" s="266">
        <f t="shared" si="0"/>
        <v>101.59152960703575</v>
      </c>
    </row>
    <row r="65" spans="1:8" ht="26.25" customHeight="1" x14ac:dyDescent="0.4">
      <c r="A65" s="124" t="s">
        <v>100</v>
      </c>
      <c r="B65" s="125">
        <v>1</v>
      </c>
      <c r="C65" s="694"/>
      <c r="D65" s="697"/>
      <c r="E65" s="184">
        <v>2</v>
      </c>
      <c r="F65" s="137">
        <v>2447506</v>
      </c>
      <c r="G65" s="249">
        <f>IF(ISBLANK(F65),"-",(F65/$D$50*$D$47*$B$68)*($B$57/$D$64))</f>
        <v>308.45218685957968</v>
      </c>
      <c r="H65" s="267">
        <f t="shared" si="0"/>
        <v>102.81739561985989</v>
      </c>
    </row>
    <row r="66" spans="1:8" ht="26.25" customHeight="1" x14ac:dyDescent="0.4">
      <c r="A66" s="124" t="s">
        <v>101</v>
      </c>
      <c r="B66" s="125">
        <v>1</v>
      </c>
      <c r="C66" s="694"/>
      <c r="D66" s="697"/>
      <c r="E66" s="184">
        <v>3</v>
      </c>
      <c r="F66" s="137">
        <v>2383613</v>
      </c>
      <c r="G66" s="249">
        <f>IF(ISBLANK(F66),"-",(F66/$D$50*$D$47*$B$68)*($B$57/$D$64))</f>
        <v>300.39993465876012</v>
      </c>
      <c r="H66" s="267">
        <f t="shared" si="0"/>
        <v>100.13331155292005</v>
      </c>
    </row>
    <row r="67" spans="1:8" ht="27" customHeight="1" x14ac:dyDescent="0.4">
      <c r="A67" s="124" t="s">
        <v>102</v>
      </c>
      <c r="B67" s="125">
        <v>1</v>
      </c>
      <c r="C67" s="695"/>
      <c r="D67" s="698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5000</v>
      </c>
      <c r="C68" s="693" t="s">
        <v>104</v>
      </c>
      <c r="D68" s="696">
        <v>1756.78</v>
      </c>
      <c r="E68" s="182">
        <v>1</v>
      </c>
      <c r="F68" s="183"/>
      <c r="G68" s="248" t="str">
        <f>IF(ISBLANK(F68),"-",(F68/$D$50*$D$47*$B$68)*($B$57/$D$68))</f>
        <v>-</v>
      </c>
      <c r="H68" s="267" t="str">
        <f t="shared" si="0"/>
        <v>-</v>
      </c>
    </row>
    <row r="69" spans="1:8" ht="27" customHeight="1" x14ac:dyDescent="0.4">
      <c r="A69" s="172" t="s">
        <v>105</v>
      </c>
      <c r="B69" s="189">
        <f>(D47*B68)/B56*B57</f>
        <v>1765.4560000000001</v>
      </c>
      <c r="C69" s="694"/>
      <c r="D69" s="697"/>
      <c r="E69" s="184">
        <v>2</v>
      </c>
      <c r="F69" s="137"/>
      <c r="G69" s="249" t="str">
        <f>IF(ISBLANK(F69),"-",(F69/$D$50*$D$47*$B$68)*($B$57/$D$68))</f>
        <v>-</v>
      </c>
      <c r="H69" s="267" t="str">
        <f t="shared" si="0"/>
        <v>-</v>
      </c>
    </row>
    <row r="70" spans="1:8" ht="26.25" customHeight="1" x14ac:dyDescent="0.4">
      <c r="A70" s="706" t="s">
        <v>78</v>
      </c>
      <c r="B70" s="707"/>
      <c r="C70" s="694"/>
      <c r="D70" s="697"/>
      <c r="E70" s="184">
        <v>3</v>
      </c>
      <c r="F70" s="137"/>
      <c r="G70" s="249" t="str">
        <f>IF(ISBLANK(F70),"-",(F70/$D$50*$D$47*$B$68)*($B$57/$D$68))</f>
        <v>-</v>
      </c>
      <c r="H70" s="267" t="str">
        <f t="shared" si="0"/>
        <v>-</v>
      </c>
    </row>
    <row r="71" spans="1:8" ht="27" customHeight="1" x14ac:dyDescent="0.4">
      <c r="A71" s="708"/>
      <c r="B71" s="709"/>
      <c r="C71" s="705"/>
      <c r="D71" s="698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306.82562173132084</v>
      </c>
      <c r="H72" s="269">
        <f>AVERAGE(H60:H71)</f>
        <v>102.27520724377364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1.2621681914583946E-2</v>
      </c>
      <c r="H73" s="253">
        <f>STDEV(H60:H71)/H72</f>
        <v>1.262168191458392E-2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701" t="str">
        <f>B26</f>
        <v>Tenoovir Disoproxil Fumurate</v>
      </c>
      <c r="D76" s="701"/>
      <c r="E76" s="198" t="s">
        <v>108</v>
      </c>
      <c r="F76" s="198"/>
      <c r="G76" s="199">
        <f>H72</f>
        <v>102.27520724377364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687" t="str">
        <f>B26</f>
        <v>Tenoovir Disoproxil Fumurate</v>
      </c>
      <c r="C79" s="687"/>
    </row>
    <row r="80" spans="1:8" ht="26.25" customHeight="1" x14ac:dyDescent="0.4">
      <c r="A80" s="109" t="s">
        <v>48</v>
      </c>
      <c r="B80" s="687" t="str">
        <f>B27</f>
        <v>T11-8</v>
      </c>
      <c r="C80" s="687"/>
    </row>
    <row r="81" spans="1:12" ht="27" customHeight="1" x14ac:dyDescent="0.4">
      <c r="A81" s="109" t="s">
        <v>6</v>
      </c>
      <c r="B81" s="201">
        <f>B28</f>
        <v>98.8</v>
      </c>
    </row>
    <row r="82" spans="1:12" s="14" customFormat="1" ht="27" customHeight="1" x14ac:dyDescent="0.4">
      <c r="A82" s="109" t="s">
        <v>49</v>
      </c>
      <c r="B82" s="111">
        <v>0</v>
      </c>
      <c r="C82" s="678" t="s">
        <v>50</v>
      </c>
      <c r="D82" s="679"/>
      <c r="E82" s="679"/>
      <c r="F82" s="679"/>
      <c r="G82" s="68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1" t="s">
        <v>111</v>
      </c>
      <c r="D84" s="682"/>
      <c r="E84" s="682"/>
      <c r="F84" s="682"/>
      <c r="G84" s="682"/>
      <c r="H84" s="68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1" t="s">
        <v>112</v>
      </c>
      <c r="D85" s="682"/>
      <c r="E85" s="682"/>
      <c r="F85" s="682"/>
      <c r="G85" s="682"/>
      <c r="H85" s="68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2" t="s">
        <v>59</v>
      </c>
      <c r="E89" s="203"/>
      <c r="F89" s="684" t="s">
        <v>60</v>
      </c>
      <c r="G89" s="686"/>
    </row>
    <row r="90" spans="1:12" ht="27" customHeight="1" x14ac:dyDescent="0.4">
      <c r="A90" s="124" t="s">
        <v>61</v>
      </c>
      <c r="B90" s="125">
        <v>10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28132470</v>
      </c>
      <c r="E91" s="133">
        <f>IF(ISBLANK(D91),"-",$D$101/$D$98*D91)</f>
        <v>29035513.173720263</v>
      </c>
      <c r="F91" s="132">
        <v>20136624</v>
      </c>
      <c r="G91" s="134">
        <f>IF(ISBLANK(F91),"-",$D$101/$F$98*F91)</f>
        <v>29060644.078754947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28178010</v>
      </c>
      <c r="E92" s="138">
        <f>IF(ISBLANK(D92),"-",$D$101/$D$98*D92)</f>
        <v>29082514.992967959</v>
      </c>
      <c r="F92" s="506">
        <v>20101853</v>
      </c>
      <c r="G92" s="139">
        <f>IF(ISBLANK(F92),"-",$D$101/$F$98*F92)</f>
        <v>29010463.489632241</v>
      </c>
      <c r="I92" s="688">
        <f>ABS((F96/D96*D95)-F95)/D95</f>
        <v>1.6495118703755522E-3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28209226</v>
      </c>
      <c r="E93" s="138">
        <f>IF(ISBLANK(D93),"-",$D$101/$D$98*D93)</f>
        <v>29114733.016455796</v>
      </c>
      <c r="F93" s="506">
        <v>20067199</v>
      </c>
      <c r="G93" s="139">
        <f>IF(ISBLANK(F93),"-",$D$101/$F$98*F93)</f>
        <v>28960451.751820322</v>
      </c>
      <c r="I93" s="688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28173235.333333332</v>
      </c>
      <c r="E95" s="148">
        <f>AVERAGE(E91:E94)</f>
        <v>29077587.061048005</v>
      </c>
      <c r="F95" s="211">
        <f>AVERAGE(F91:F94)</f>
        <v>20101892</v>
      </c>
      <c r="G95" s="212">
        <f>AVERAGE(G91:G94)</f>
        <v>29010519.773402501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14.71</v>
      </c>
      <c r="E96" s="140"/>
      <c r="F96" s="152">
        <v>10.52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14.71</v>
      </c>
      <c r="E97" s="155"/>
      <c r="F97" s="154">
        <f>F96*$B$87</f>
        <v>10.52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14.533479999999999</v>
      </c>
      <c r="E98" s="158"/>
      <c r="F98" s="157">
        <f>F97*$B$83/100</f>
        <v>10.39376</v>
      </c>
    </row>
    <row r="99" spans="1:10" ht="19.5" customHeight="1" x14ac:dyDescent="0.3">
      <c r="A99" s="689" t="s">
        <v>78</v>
      </c>
      <c r="B99" s="703"/>
      <c r="C99" s="215" t="s">
        <v>116</v>
      </c>
      <c r="D99" s="219">
        <f>D98/$B$98</f>
        <v>0.29066959999999997</v>
      </c>
      <c r="E99" s="158"/>
      <c r="F99" s="161">
        <f>F98/$B$98</f>
        <v>0.20787520000000001</v>
      </c>
      <c r="G99" s="220"/>
      <c r="H99" s="150"/>
    </row>
    <row r="100" spans="1:10" ht="19.5" customHeight="1" x14ac:dyDescent="0.3">
      <c r="A100" s="691"/>
      <c r="B100" s="704"/>
      <c r="C100" s="215" t="s">
        <v>80</v>
      </c>
      <c r="D100" s="221">
        <f>$B$56/$B$116</f>
        <v>0.3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15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15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29044053.417225257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1.8820964624281409E-3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27579619</v>
      </c>
      <c r="E108" s="250">
        <f t="shared" ref="E108:E113" si="1">IF(ISBLANK(D108),"-",D108/$D$103*$D$100*$B$116)</f>
        <v>284.87365661891317</v>
      </c>
      <c r="F108" s="277">
        <f t="shared" ref="F108:F113" si="2">IF(ISBLANK(D108), "-", (E108/$B$56)*100)</f>
        <v>94.957885539637715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27737886</v>
      </c>
      <c r="E109" s="251">
        <f t="shared" si="1"/>
        <v>286.50841810753656</v>
      </c>
      <c r="F109" s="278">
        <f t="shared" si="2"/>
        <v>95.502806035845524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28589679</v>
      </c>
      <c r="E110" s="251">
        <f t="shared" si="1"/>
        <v>295.30670450128235</v>
      </c>
      <c r="F110" s="278">
        <f t="shared" si="2"/>
        <v>98.435568167094118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27726358</v>
      </c>
      <c r="E111" s="251">
        <f t="shared" si="1"/>
        <v>286.38934381889237</v>
      </c>
      <c r="F111" s="278">
        <f t="shared" si="2"/>
        <v>95.463114606297466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28924120</v>
      </c>
      <c r="E112" s="251">
        <f t="shared" si="1"/>
        <v>298.76119133060678</v>
      </c>
      <c r="F112" s="278">
        <f t="shared" si="2"/>
        <v>99.587063776868916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28147465</v>
      </c>
      <c r="E113" s="252">
        <f t="shared" si="1"/>
        <v>290.73901561522212</v>
      </c>
      <c r="F113" s="279">
        <f t="shared" si="2"/>
        <v>96.913005205074043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290.42972166540892</v>
      </c>
      <c r="F115" s="281">
        <f>AVERAGE(F108:F113)</f>
        <v>96.809907221802959</v>
      </c>
    </row>
    <row r="116" spans="1:10" ht="27" customHeight="1" x14ac:dyDescent="0.4">
      <c r="A116" s="124" t="s">
        <v>103</v>
      </c>
      <c r="B116" s="156">
        <f>(B115/B114)*(B113/B112)*(B111/B110)*(B109/B108)*B107</f>
        <v>1000</v>
      </c>
      <c r="C116" s="234"/>
      <c r="D116" s="258" t="s">
        <v>84</v>
      </c>
      <c r="E116" s="256">
        <f>STDEV(E108:E113)/E115</f>
        <v>1.9224207375902677E-2</v>
      </c>
      <c r="F116" s="235">
        <f>STDEV(F108:F113)/F115</f>
        <v>1.9224207375902649E-2</v>
      </c>
      <c r="I116" s="98"/>
    </row>
    <row r="117" spans="1:10" ht="27" customHeight="1" x14ac:dyDescent="0.4">
      <c r="A117" s="689" t="s">
        <v>78</v>
      </c>
      <c r="B117" s="690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91"/>
      <c r="B118" s="692"/>
      <c r="C118" s="98"/>
      <c r="D118" s="260"/>
      <c r="E118" s="669" t="s">
        <v>123</v>
      </c>
      <c r="F118" s="670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284.87365661891317</v>
      </c>
      <c r="F119" s="282">
        <f>MIN(F108:F113)</f>
        <v>94.957885539637715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298.76119133060678</v>
      </c>
      <c r="F120" s="283">
        <f>MAX(F108:F113)</f>
        <v>99.587063776868916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701" t="str">
        <f>B26</f>
        <v>Tenoovir Disoproxil Fumurate</v>
      </c>
      <c r="D124" s="701"/>
      <c r="E124" s="198" t="s">
        <v>127</v>
      </c>
      <c r="F124" s="198"/>
      <c r="G124" s="284">
        <f>F115</f>
        <v>96.809907221802959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94.957885539637715</v>
      </c>
      <c r="E125" s="209" t="s">
        <v>130</v>
      </c>
      <c r="F125" s="284">
        <f>MAX(F108:F113)</f>
        <v>99.587063776868916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702" t="s">
        <v>26</v>
      </c>
      <c r="C127" s="702"/>
      <c r="E127" s="204" t="s">
        <v>27</v>
      </c>
      <c r="F127" s="239"/>
      <c r="G127" s="702" t="s">
        <v>28</v>
      </c>
      <c r="H127" s="7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4" zoomScale="46" zoomScaleNormal="40" zoomScalePageLayoutView="46" workbookViewId="0">
      <selection activeCell="B128" sqref="B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285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287" t="s">
        <v>33</v>
      </c>
      <c r="B18" s="671" t="s">
        <v>5</v>
      </c>
      <c r="C18" s="671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676" t="s">
        <v>9</v>
      </c>
      <c r="C20" s="676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671" t="s">
        <v>133</v>
      </c>
      <c r="C26" s="671"/>
    </row>
    <row r="27" spans="1:14" ht="26.25" customHeight="1" x14ac:dyDescent="0.4">
      <c r="A27" s="296" t="s">
        <v>48</v>
      </c>
      <c r="B27" s="677" t="s">
        <v>134</v>
      </c>
      <c r="C27" s="677"/>
    </row>
    <row r="28" spans="1:14" ht="27" customHeight="1" x14ac:dyDescent="0.4">
      <c r="A28" s="296" t="s">
        <v>6</v>
      </c>
      <c r="B28" s="297">
        <v>99.8</v>
      </c>
    </row>
    <row r="29" spans="1:14" s="14" customFormat="1" ht="27" customHeight="1" x14ac:dyDescent="0.4">
      <c r="A29" s="296" t="s">
        <v>49</v>
      </c>
      <c r="B29" s="298">
        <v>0</v>
      </c>
      <c r="C29" s="678" t="s">
        <v>50</v>
      </c>
      <c r="D29" s="679"/>
      <c r="E29" s="679"/>
      <c r="F29" s="679"/>
      <c r="G29" s="680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681" t="s">
        <v>53</v>
      </c>
      <c r="D31" s="682"/>
      <c r="E31" s="682"/>
      <c r="F31" s="682"/>
      <c r="G31" s="682"/>
      <c r="H31" s="683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681" t="s">
        <v>55</v>
      </c>
      <c r="D32" s="682"/>
      <c r="E32" s="682"/>
      <c r="F32" s="682"/>
      <c r="G32" s="682"/>
      <c r="H32" s="683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25</v>
      </c>
      <c r="C36" s="286"/>
      <c r="D36" s="684" t="s">
        <v>59</v>
      </c>
      <c r="E36" s="685"/>
      <c r="F36" s="684" t="s">
        <v>60</v>
      </c>
      <c r="G36" s="686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50</v>
      </c>
      <c r="C38" s="318">
        <v>1</v>
      </c>
      <c r="D38" s="319">
        <v>3748325</v>
      </c>
      <c r="E38" s="320">
        <f>IF(ISBLANK(D38),"-",$D$48/$D$45*D38)</f>
        <v>3312025.2851381768</v>
      </c>
      <c r="F38" s="319">
        <v>3567485</v>
      </c>
      <c r="G38" s="321">
        <f>IF(ISBLANK(F38),"-",$D$48/$F$45*F38)</f>
        <v>3313937.8262086599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3799441</v>
      </c>
      <c r="E39" s="325">
        <f>IF(ISBLANK(D39),"-",$D$48/$D$45*D39)</f>
        <v>3357191.4552208465</v>
      </c>
      <c r="F39" s="324">
        <v>3613302</v>
      </c>
      <c r="G39" s="326">
        <f>IF(ISBLANK(F39),"-",$D$48/$F$45*F39)</f>
        <v>3356498.5347704063</v>
      </c>
      <c r="I39" s="688">
        <f>ABS((F43/D43*D42)-F42)/D42</f>
        <v>1.3018829954532627E-3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3772063</v>
      </c>
      <c r="E40" s="325">
        <f>IF(ISBLANK(D40),"-",$D$48/$D$45*D40)</f>
        <v>3333000.2155987453</v>
      </c>
      <c r="F40" s="324">
        <v>3601430</v>
      </c>
      <c r="G40" s="326">
        <f>IF(ISBLANK(F40),"-",$D$48/$F$45*F40)</f>
        <v>3345470.2978268033</v>
      </c>
      <c r="I40" s="688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3773276.3333333335</v>
      </c>
      <c r="E42" s="335">
        <f>AVERAGE(E38:E41)</f>
        <v>3334072.3186525893</v>
      </c>
      <c r="F42" s="334">
        <f>AVERAGE(F38:F41)</f>
        <v>3594072.3333333335</v>
      </c>
      <c r="G42" s="336">
        <f>AVERAGE(G38:G41)</f>
        <v>3338635.5529352897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17.010000000000002</v>
      </c>
      <c r="E43" s="327"/>
      <c r="F43" s="339">
        <v>16.18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17.010000000000002</v>
      </c>
      <c r="E44" s="342"/>
      <c r="F44" s="341">
        <f>F43*$B$34</f>
        <v>16.18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250</v>
      </c>
      <c r="C45" s="340" t="s">
        <v>77</v>
      </c>
      <c r="D45" s="344">
        <f>D44*$B$30/100</f>
        <v>16.975980000000003</v>
      </c>
      <c r="E45" s="345"/>
      <c r="F45" s="344">
        <f>F44*$B$30/100</f>
        <v>16.147639999999999</v>
      </c>
      <c r="H45" s="337"/>
    </row>
    <row r="46" spans="1:14" ht="19.5" customHeight="1" x14ac:dyDescent="0.3">
      <c r="A46" s="689" t="s">
        <v>78</v>
      </c>
      <c r="B46" s="690"/>
      <c r="C46" s="340" t="s">
        <v>79</v>
      </c>
      <c r="D46" s="346">
        <f>D45/$B$45</f>
        <v>6.790392000000002E-2</v>
      </c>
      <c r="E46" s="347"/>
      <c r="F46" s="348">
        <f>F45/$B$45</f>
        <v>6.4590559999999991E-2</v>
      </c>
      <c r="H46" s="337"/>
    </row>
    <row r="47" spans="1:14" ht="27" customHeight="1" x14ac:dyDescent="0.4">
      <c r="A47" s="691"/>
      <c r="B47" s="692"/>
      <c r="C47" s="349" t="s">
        <v>80</v>
      </c>
      <c r="D47" s="350">
        <v>0.06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15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15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3336353.93579394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6.0374670110092711E-3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364" t="s">
        <v>87</v>
      </c>
      <c r="B56" s="365">
        <v>300</v>
      </c>
      <c r="C56" s="286" t="str">
        <f>B20</f>
        <v xml:space="preserve">Efavirenz , Lamivudine  and Tenofovir Disoproxil Fumarate </v>
      </c>
      <c r="H56" s="366"/>
    </row>
    <row r="57" spans="1:12" ht="18.75" x14ac:dyDescent="0.3">
      <c r="A57" s="363" t="s">
        <v>88</v>
      </c>
      <c r="B57" s="434">
        <f>Uniformity!C46</f>
        <v>1765.4560000000001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200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4</v>
      </c>
      <c r="C60" s="693" t="s">
        <v>94</v>
      </c>
      <c r="D60" s="696">
        <v>1800.33</v>
      </c>
      <c r="E60" s="369">
        <v>1</v>
      </c>
      <c r="F60" s="370"/>
      <c r="G60" s="435" t="str">
        <f>IF(ISBLANK(F60),"-",(F60/$D$50*$D$47*$B$68)*($B$57/$D$60))</f>
        <v>-</v>
      </c>
      <c r="H60" s="453" t="str">
        <f t="shared" ref="H60:H71" si="0">IF(ISBLANK(F60),"-",(G60/$B$56)*100)</f>
        <v>-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694"/>
      <c r="D61" s="697"/>
      <c r="E61" s="371">
        <v>2</v>
      </c>
      <c r="F61" s="324"/>
      <c r="G61" s="436" t="str">
        <f>IF(ISBLANK(F61),"-",(F61/$D$50*$D$47*$B$68)*($B$57/$D$60))</f>
        <v>-</v>
      </c>
      <c r="H61" s="454" t="str">
        <f t="shared" si="0"/>
        <v>-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694"/>
      <c r="D62" s="697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97</v>
      </c>
      <c r="B63" s="312">
        <v>1</v>
      </c>
      <c r="C63" s="695"/>
      <c r="D63" s="698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693" t="s">
        <v>99</v>
      </c>
      <c r="D64" s="696">
        <v>1752.13</v>
      </c>
      <c r="E64" s="369">
        <v>1</v>
      </c>
      <c r="F64" s="370">
        <v>3129565</v>
      </c>
      <c r="G64" s="435">
        <f>IF(ISBLANK(F64),"-",(F64/$D$50*$D$47*$B$68)*($B$57/$D$64))</f>
        <v>283.54610575291446</v>
      </c>
      <c r="H64" s="453">
        <f t="shared" si="0"/>
        <v>94.515368584304809</v>
      </c>
    </row>
    <row r="65" spans="1:8" ht="26.25" customHeight="1" x14ac:dyDescent="0.4">
      <c r="A65" s="311" t="s">
        <v>100</v>
      </c>
      <c r="B65" s="312">
        <v>1</v>
      </c>
      <c r="C65" s="694"/>
      <c r="D65" s="697"/>
      <c r="E65" s="371">
        <v>2</v>
      </c>
      <c r="F65" s="324">
        <v>3177340</v>
      </c>
      <c r="G65" s="436">
        <f>IF(ISBLANK(F65),"-",(F65/$D$50*$D$47*$B$68)*($B$57/$D$64))</f>
        <v>287.87463550140842</v>
      </c>
      <c r="H65" s="454">
        <f t="shared" si="0"/>
        <v>95.958211833802807</v>
      </c>
    </row>
    <row r="66" spans="1:8" ht="26.25" customHeight="1" x14ac:dyDescent="0.4">
      <c r="A66" s="311" t="s">
        <v>101</v>
      </c>
      <c r="B66" s="312">
        <v>1</v>
      </c>
      <c r="C66" s="694"/>
      <c r="D66" s="697"/>
      <c r="E66" s="371">
        <v>3</v>
      </c>
      <c r="F66" s="324">
        <v>3129333</v>
      </c>
      <c r="G66" s="436">
        <f>IF(ISBLANK(F66),"-",(F66/$D$50*$D$47*$B$68)*($B$57/$D$64))</f>
        <v>283.52508599568472</v>
      </c>
      <c r="H66" s="454">
        <f t="shared" si="0"/>
        <v>94.508361998561568</v>
      </c>
    </row>
    <row r="67" spans="1:8" ht="27" customHeight="1" x14ac:dyDescent="0.4">
      <c r="A67" s="311" t="s">
        <v>102</v>
      </c>
      <c r="B67" s="312">
        <v>1</v>
      </c>
      <c r="C67" s="695"/>
      <c r="D67" s="698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693" t="s">
        <v>104</v>
      </c>
      <c r="D68" s="696">
        <v>1757.01</v>
      </c>
      <c r="E68" s="369">
        <v>1</v>
      </c>
      <c r="F68" s="370">
        <v>3197264</v>
      </c>
      <c r="G68" s="435">
        <f>IF(ISBLANK(F68),"-",(F68/$D$50*$D$47*$B$68)*($B$57/$D$68))</f>
        <v>288.87522782572046</v>
      </c>
      <c r="H68" s="454">
        <f t="shared" si="0"/>
        <v>96.291742608573486</v>
      </c>
    </row>
    <row r="69" spans="1:8" ht="27" customHeight="1" x14ac:dyDescent="0.4">
      <c r="A69" s="359" t="s">
        <v>105</v>
      </c>
      <c r="B69" s="376">
        <f>(D47*B68)/B56*B57</f>
        <v>1765.4560000000001</v>
      </c>
      <c r="C69" s="694"/>
      <c r="D69" s="697"/>
      <c r="E69" s="371">
        <v>2</v>
      </c>
      <c r="F69" s="324">
        <v>3170040</v>
      </c>
      <c r="G69" s="436">
        <f>IF(ISBLANK(F69),"-",(F69/$D$50*$D$47*$B$68)*($B$57/$D$68))</f>
        <v>286.41551877375372</v>
      </c>
      <c r="H69" s="454">
        <f t="shared" si="0"/>
        <v>95.471839591251239</v>
      </c>
    </row>
    <row r="70" spans="1:8" ht="26.25" customHeight="1" x14ac:dyDescent="0.4">
      <c r="A70" s="706" t="s">
        <v>78</v>
      </c>
      <c r="B70" s="707"/>
      <c r="C70" s="694"/>
      <c r="D70" s="697"/>
      <c r="E70" s="371">
        <v>3</v>
      </c>
      <c r="F70" s="324">
        <v>3160498</v>
      </c>
      <c r="G70" s="436">
        <f>IF(ISBLANK(F70),"-",(F70/$D$50*$D$47*$B$68)*($B$57/$D$68))</f>
        <v>285.55339183524853</v>
      </c>
      <c r="H70" s="454">
        <f t="shared" si="0"/>
        <v>95.18446394508284</v>
      </c>
    </row>
    <row r="71" spans="1:8" ht="27" customHeight="1" x14ac:dyDescent="0.4">
      <c r="A71" s="708"/>
      <c r="B71" s="709"/>
      <c r="C71" s="705"/>
      <c r="D71" s="698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285.9649942807884</v>
      </c>
      <c r="H72" s="456">
        <f>AVERAGE(H60:H71)</f>
        <v>95.321664760262806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7.7079782786659444E-3</v>
      </c>
      <c r="H73" s="440">
        <f>STDEV(H60:H71)/H72</f>
        <v>7.7079782786659791E-3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701" t="str">
        <f>B26</f>
        <v>Lamivudine</v>
      </c>
      <c r="D76" s="701"/>
      <c r="E76" s="385" t="s">
        <v>108</v>
      </c>
      <c r="F76" s="385"/>
      <c r="G76" s="386">
        <f>H72</f>
        <v>95.321664760262806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687" t="str">
        <f>B26</f>
        <v>Lamivudine</v>
      </c>
      <c r="C79" s="687"/>
    </row>
    <row r="80" spans="1:8" ht="26.25" customHeight="1" x14ac:dyDescent="0.4">
      <c r="A80" s="296" t="s">
        <v>48</v>
      </c>
      <c r="B80" s="687" t="str">
        <f>B27</f>
        <v>l42-1</v>
      </c>
      <c r="C80" s="687"/>
    </row>
    <row r="81" spans="1:12" ht="27" customHeight="1" x14ac:dyDescent="0.4">
      <c r="A81" s="296" t="s">
        <v>6</v>
      </c>
      <c r="B81" s="388">
        <f>B28</f>
        <v>99.8</v>
      </c>
    </row>
    <row r="82" spans="1:12" s="14" customFormat="1" ht="27" customHeight="1" x14ac:dyDescent="0.4">
      <c r="A82" s="296" t="s">
        <v>49</v>
      </c>
      <c r="B82" s="298">
        <v>0</v>
      </c>
      <c r="C82" s="678" t="s">
        <v>50</v>
      </c>
      <c r="D82" s="679"/>
      <c r="E82" s="679"/>
      <c r="F82" s="679"/>
      <c r="G82" s="680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99.8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681" t="s">
        <v>111</v>
      </c>
      <c r="D84" s="682"/>
      <c r="E84" s="682"/>
      <c r="F84" s="682"/>
      <c r="G84" s="682"/>
      <c r="H84" s="683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681" t="s">
        <v>112</v>
      </c>
      <c r="D85" s="682"/>
      <c r="E85" s="682"/>
      <c r="F85" s="682"/>
      <c r="G85" s="682"/>
      <c r="H85" s="683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25</v>
      </c>
      <c r="D89" s="389" t="s">
        <v>59</v>
      </c>
      <c r="E89" s="390"/>
      <c r="F89" s="684" t="s">
        <v>60</v>
      </c>
      <c r="G89" s="686"/>
    </row>
    <row r="90" spans="1:12" ht="27" customHeight="1" x14ac:dyDescent="0.4">
      <c r="A90" s="311" t="s">
        <v>61</v>
      </c>
      <c r="B90" s="312">
        <v>10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20</v>
      </c>
      <c r="C91" s="393">
        <v>1</v>
      </c>
      <c r="D91" s="319">
        <v>34792676</v>
      </c>
      <c r="E91" s="320">
        <f>IF(ISBLANK(D91),"-",$D$101/$D$98*D91)</f>
        <v>32765414.287221059</v>
      </c>
      <c r="F91" s="319">
        <v>22271426</v>
      </c>
      <c r="G91" s="321">
        <f>IF(ISBLANK(F91),"-",$D$101/$F$98*F91)</f>
        <v>33373965.278513163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34833494</v>
      </c>
      <c r="E92" s="325">
        <f>IF(ISBLANK(D92),"-",$D$101/$D$98*D92)</f>
        <v>32803853.948498502</v>
      </c>
      <c r="F92" s="324">
        <v>22271668</v>
      </c>
      <c r="G92" s="326">
        <f>IF(ISBLANK(F92),"-",$D$101/$F$98*F92)</f>
        <v>33374327.918049466</v>
      </c>
      <c r="I92" s="688">
        <f>ABS((F96/D96*D95)-F95)/D95</f>
        <v>1.0031257931863016E-2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35013156</v>
      </c>
      <c r="E93" s="325">
        <f>IF(ISBLANK(D93),"-",$D$101/$D$98*D93)</f>
        <v>32973047.598957315</v>
      </c>
      <c r="F93" s="324">
        <v>22266748</v>
      </c>
      <c r="G93" s="326">
        <f>IF(ISBLANK(F93),"-",$D$101/$F$98*F93)</f>
        <v>33366955.246485002</v>
      </c>
      <c r="I93" s="688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34879775.333333336</v>
      </c>
      <c r="E95" s="335">
        <f>AVERAGE(E91:E94)</f>
        <v>32847438.611558959</v>
      </c>
      <c r="F95" s="398">
        <f>AVERAGE(F91:F94)</f>
        <v>22269947.333333332</v>
      </c>
      <c r="G95" s="399">
        <f>AVERAGE(G91:G94)</f>
        <v>33371749.48101588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15.96</v>
      </c>
      <c r="E96" s="327"/>
      <c r="F96" s="339">
        <v>10.029999999999999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15.96</v>
      </c>
      <c r="E97" s="342"/>
      <c r="F97" s="341">
        <f>F96*$B$87</f>
        <v>10.029999999999999</v>
      </c>
    </row>
    <row r="98" spans="1:10" ht="19.5" customHeight="1" x14ac:dyDescent="0.3">
      <c r="A98" s="311" t="s">
        <v>76</v>
      </c>
      <c r="B98" s="404">
        <f>(B97/B96)*(B95/B94)*(B93/B92)*(B91/B90)*B89</f>
        <v>50</v>
      </c>
      <c r="C98" s="402" t="s">
        <v>115</v>
      </c>
      <c r="D98" s="405">
        <f>D97*$B$83/100</f>
        <v>15.92808</v>
      </c>
      <c r="E98" s="345"/>
      <c r="F98" s="344">
        <f>F97*$B$83/100</f>
        <v>10.009939999999999</v>
      </c>
    </row>
    <row r="99" spans="1:10" ht="19.5" customHeight="1" x14ac:dyDescent="0.3">
      <c r="A99" s="689" t="s">
        <v>78</v>
      </c>
      <c r="B99" s="703"/>
      <c r="C99" s="402" t="s">
        <v>116</v>
      </c>
      <c r="D99" s="406">
        <f>D98/$B$98</f>
        <v>0.3185616</v>
      </c>
      <c r="E99" s="345"/>
      <c r="F99" s="348">
        <f>F98/$B$98</f>
        <v>0.20019879999999998</v>
      </c>
      <c r="G99" s="407"/>
      <c r="H99" s="337"/>
    </row>
    <row r="100" spans="1:10" ht="19.5" customHeight="1" x14ac:dyDescent="0.3">
      <c r="A100" s="691"/>
      <c r="B100" s="704"/>
      <c r="C100" s="402" t="s">
        <v>80</v>
      </c>
      <c r="D100" s="408">
        <f>$B$56/$B$116</f>
        <v>0.3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15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15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33109594.046287417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8.9268611628784029E-3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1000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32028331</v>
      </c>
      <c r="E108" s="437">
        <f t="shared" ref="E108:E113" si="1">IF(ISBLANK(D108),"-",D108/$D$103*$D$100*$B$116)</f>
        <v>290.20287251384775</v>
      </c>
      <c r="F108" s="464">
        <f t="shared" ref="F108:F113" si="2">IF(ISBLANK(D108), "-", (E108/$B$56)*100)</f>
        <v>96.73429083794926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31846537</v>
      </c>
      <c r="E109" s="438">
        <f t="shared" si="1"/>
        <v>288.55567019769262</v>
      </c>
      <c r="F109" s="465">
        <f t="shared" si="2"/>
        <v>96.185223399230864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32984032</v>
      </c>
      <c r="E110" s="438">
        <f t="shared" si="1"/>
        <v>298.86230517252596</v>
      </c>
      <c r="F110" s="465">
        <f t="shared" si="2"/>
        <v>99.620768390841988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31874424</v>
      </c>
      <c r="E111" s="438">
        <f t="shared" si="1"/>
        <v>288.8083492244516</v>
      </c>
      <c r="F111" s="465">
        <f t="shared" si="2"/>
        <v>96.269449741483868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33308602</v>
      </c>
      <c r="E112" s="438">
        <f t="shared" si="1"/>
        <v>301.80317481483792</v>
      </c>
      <c r="F112" s="465">
        <f t="shared" si="2"/>
        <v>100.60105827161263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32413991</v>
      </c>
      <c r="E113" s="439">
        <f t="shared" si="1"/>
        <v>293.69726751724926</v>
      </c>
      <c r="F113" s="466">
        <f t="shared" si="2"/>
        <v>97.899089172416424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293.65493990676754</v>
      </c>
      <c r="F115" s="468">
        <f>AVERAGE(F108:F113)</f>
        <v>97.884979968922508</v>
      </c>
    </row>
    <row r="116" spans="1:10" ht="27" customHeight="1" x14ac:dyDescent="0.4">
      <c r="A116" s="311" t="s">
        <v>103</v>
      </c>
      <c r="B116" s="343">
        <f>(B115/B114)*(B113/B112)*(B111/B110)*(B109/B108)*B107</f>
        <v>1000</v>
      </c>
      <c r="C116" s="421"/>
      <c r="D116" s="445" t="s">
        <v>84</v>
      </c>
      <c r="E116" s="443">
        <f>STDEV(E108:E113)/E115</f>
        <v>1.8955390988028353E-2</v>
      </c>
      <c r="F116" s="422">
        <f>STDEV(F108:F113)/F115</f>
        <v>1.8955390988028332E-2</v>
      </c>
      <c r="I116" s="285"/>
    </row>
    <row r="117" spans="1:10" ht="27" customHeight="1" x14ac:dyDescent="0.4">
      <c r="A117" s="689" t="s">
        <v>78</v>
      </c>
      <c r="B117" s="690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691"/>
      <c r="B118" s="692"/>
      <c r="C118" s="285"/>
      <c r="D118" s="447"/>
      <c r="E118" s="669" t="s">
        <v>123</v>
      </c>
      <c r="F118" s="670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288.55567019769262</v>
      </c>
      <c r="F119" s="469">
        <f>MIN(F108:F113)</f>
        <v>96.185223399230864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301.80317481483792</v>
      </c>
      <c r="F120" s="470">
        <f>MAX(F108:F113)</f>
        <v>100.60105827161263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701" t="str">
        <f>B26</f>
        <v>Lamivudine</v>
      </c>
      <c r="D124" s="701"/>
      <c r="E124" s="385" t="s">
        <v>127</v>
      </c>
      <c r="F124" s="385"/>
      <c r="G124" s="471">
        <f>F115</f>
        <v>97.884979968922508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96.185223399230864</v>
      </c>
      <c r="E125" s="396" t="s">
        <v>130</v>
      </c>
      <c r="F125" s="471">
        <f>MAX(F108:F113)</f>
        <v>100.60105827161263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702" t="s">
        <v>26</v>
      </c>
      <c r="C127" s="702"/>
      <c r="E127" s="391" t="s">
        <v>27</v>
      </c>
      <c r="F127" s="426"/>
      <c r="G127" s="702" t="s">
        <v>28</v>
      </c>
      <c r="H127" s="702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9" zoomScale="42" zoomScaleNormal="40" zoomScalePageLayoutView="42" workbookViewId="0">
      <selection activeCell="B128" sqref="B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472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474" t="s">
        <v>33</v>
      </c>
      <c r="B18" s="671" t="s">
        <v>5</v>
      </c>
      <c r="C18" s="671"/>
      <c r="D18" s="620"/>
      <c r="E18" s="475"/>
      <c r="F18" s="476"/>
      <c r="G18" s="476"/>
      <c r="H18" s="476"/>
    </row>
    <row r="19" spans="1:14" ht="26.25" customHeight="1" x14ac:dyDescent="0.4">
      <c r="A19" s="474" t="s">
        <v>34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35</v>
      </c>
      <c r="B20" s="676" t="s">
        <v>9</v>
      </c>
      <c r="C20" s="676"/>
      <c r="D20" s="476"/>
      <c r="E20" s="476"/>
      <c r="F20" s="476"/>
      <c r="G20" s="476"/>
      <c r="H20" s="476"/>
    </row>
    <row r="21" spans="1:14" ht="26.25" customHeight="1" x14ac:dyDescent="0.4">
      <c r="A21" s="474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478"/>
    </row>
    <row r="22" spans="1:14" ht="26.25" customHeight="1" x14ac:dyDescent="0.4">
      <c r="A22" s="474" t="s">
        <v>37</v>
      </c>
      <c r="B22" s="479" t="s">
        <v>12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38</v>
      </c>
      <c r="B23" s="479"/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671" t="s">
        <v>135</v>
      </c>
      <c r="C26" s="671"/>
    </row>
    <row r="27" spans="1:14" ht="26.25" customHeight="1" x14ac:dyDescent="0.4">
      <c r="A27" s="483" t="s">
        <v>48</v>
      </c>
      <c r="B27" s="677" t="s">
        <v>136</v>
      </c>
      <c r="C27" s="677"/>
    </row>
    <row r="28" spans="1:14" ht="27" customHeight="1" x14ac:dyDescent="0.4">
      <c r="A28" s="483" t="s">
        <v>6</v>
      </c>
      <c r="B28" s="484">
        <v>96.69</v>
      </c>
    </row>
    <row r="29" spans="1:14" s="14" customFormat="1" ht="27" customHeight="1" x14ac:dyDescent="0.4">
      <c r="A29" s="483" t="s">
        <v>49</v>
      </c>
      <c r="B29" s="485">
        <v>0</v>
      </c>
      <c r="C29" s="678" t="s">
        <v>50</v>
      </c>
      <c r="D29" s="679"/>
      <c r="E29" s="679"/>
      <c r="F29" s="679"/>
      <c r="G29" s="680"/>
      <c r="I29" s="486"/>
      <c r="J29" s="486"/>
      <c r="K29" s="486"/>
      <c r="L29" s="486"/>
    </row>
    <row r="30" spans="1:14" s="14" customFormat="1" ht="19.5" customHeight="1" x14ac:dyDescent="0.3">
      <c r="A30" s="483" t="s">
        <v>51</v>
      </c>
      <c r="B30" s="487">
        <f>B28-B29</f>
        <v>96.69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52</v>
      </c>
      <c r="B31" s="490">
        <v>1</v>
      </c>
      <c r="C31" s="681" t="s">
        <v>53</v>
      </c>
      <c r="D31" s="682"/>
      <c r="E31" s="682"/>
      <c r="F31" s="682"/>
      <c r="G31" s="682"/>
      <c r="H31" s="683"/>
      <c r="I31" s="486"/>
      <c r="J31" s="486"/>
      <c r="K31" s="486"/>
      <c r="L31" s="486"/>
    </row>
    <row r="32" spans="1:14" s="14" customFormat="1" ht="27" customHeight="1" x14ac:dyDescent="0.4">
      <c r="A32" s="483" t="s">
        <v>54</v>
      </c>
      <c r="B32" s="490">
        <v>1</v>
      </c>
      <c r="C32" s="681" t="s">
        <v>55</v>
      </c>
      <c r="D32" s="682"/>
      <c r="E32" s="682"/>
      <c r="F32" s="682"/>
      <c r="G32" s="682"/>
      <c r="H32" s="683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56</v>
      </c>
      <c r="B34" s="495">
        <f>B31/B32</f>
        <v>1</v>
      </c>
      <c r="C34" s="473" t="s">
        <v>57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58</v>
      </c>
      <c r="B36" s="497">
        <v>25</v>
      </c>
      <c r="C36" s="473"/>
      <c r="D36" s="684" t="s">
        <v>59</v>
      </c>
      <c r="E36" s="685"/>
      <c r="F36" s="684" t="s">
        <v>60</v>
      </c>
      <c r="G36" s="686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61</v>
      </c>
      <c r="B37" s="499">
        <v>5</v>
      </c>
      <c r="C37" s="500" t="s">
        <v>62</v>
      </c>
      <c r="D37" s="501" t="s">
        <v>63</v>
      </c>
      <c r="E37" s="502" t="s">
        <v>64</v>
      </c>
      <c r="F37" s="501" t="s">
        <v>63</v>
      </c>
      <c r="G37" s="503" t="s">
        <v>64</v>
      </c>
      <c r="I37" s="504" t="s">
        <v>65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66</v>
      </c>
      <c r="B38" s="499">
        <v>50</v>
      </c>
      <c r="C38" s="505">
        <v>1</v>
      </c>
      <c r="D38" s="506">
        <v>8995370</v>
      </c>
      <c r="E38" s="507">
        <f>IF(ISBLANK(D38),"-",$D$48/$D$45*D38)</f>
        <v>10208459.633472931</v>
      </c>
      <c r="F38" s="506">
        <v>9923351</v>
      </c>
      <c r="G38" s="508">
        <f>IF(ISBLANK(F38),"-",$D$48/$F$45*F38)</f>
        <v>10300827.929733463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67</v>
      </c>
      <c r="B39" s="499">
        <v>1</v>
      </c>
      <c r="C39" s="510">
        <v>2</v>
      </c>
      <c r="D39" s="511">
        <v>9018230</v>
      </c>
      <c r="E39" s="512">
        <f>IF(ISBLANK(D39),"-",$D$48/$D$45*D39)</f>
        <v>10234402.467088578</v>
      </c>
      <c r="F39" s="511">
        <v>10042672</v>
      </c>
      <c r="G39" s="513">
        <f>IF(ISBLANK(F39),"-",$D$48/$F$45*F39)</f>
        <v>10424687.812287623</v>
      </c>
      <c r="I39" s="688">
        <f>ABS((F43/D43*D42)-F42)/D42</f>
        <v>1.6323431001309129E-2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68</v>
      </c>
      <c r="B40" s="499">
        <v>1</v>
      </c>
      <c r="C40" s="510">
        <v>3</v>
      </c>
      <c r="D40" s="511">
        <v>9037919</v>
      </c>
      <c r="E40" s="512">
        <f>IF(ISBLANK(D40),"-",$D$48/$D$45*D40)</f>
        <v>10256746.668797174</v>
      </c>
      <c r="F40" s="511">
        <v>10050163</v>
      </c>
      <c r="G40" s="513">
        <f>IF(ISBLANK(F40),"-",$D$48/$F$45*F40)</f>
        <v>10432463.764385018</v>
      </c>
      <c r="I40" s="688"/>
      <c r="L40" s="491"/>
      <c r="M40" s="491"/>
      <c r="N40" s="514"/>
    </row>
    <row r="41" spans="1:14" ht="27" customHeight="1" x14ac:dyDescent="0.4">
      <c r="A41" s="498" t="s">
        <v>69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70</v>
      </c>
      <c r="B42" s="499">
        <v>1</v>
      </c>
      <c r="C42" s="520" t="s">
        <v>71</v>
      </c>
      <c r="D42" s="521">
        <f>AVERAGE(D38:D41)</f>
        <v>9017173</v>
      </c>
      <c r="E42" s="522">
        <f>AVERAGE(E38:E41)</f>
        <v>10233202.92311956</v>
      </c>
      <c r="F42" s="521">
        <f>AVERAGE(F38:F41)</f>
        <v>10005395.333333334</v>
      </c>
      <c r="G42" s="523">
        <f>AVERAGE(G38:G41)</f>
        <v>10385993.168802034</v>
      </c>
      <c r="H42" s="524"/>
    </row>
    <row r="43" spans="1:14" ht="26.25" customHeight="1" x14ac:dyDescent="0.4">
      <c r="A43" s="498" t="s">
        <v>72</v>
      </c>
      <c r="B43" s="499">
        <v>1</v>
      </c>
      <c r="C43" s="525" t="s">
        <v>73</v>
      </c>
      <c r="D43" s="526">
        <v>27.34</v>
      </c>
      <c r="E43" s="514"/>
      <c r="F43" s="526">
        <v>29.89</v>
      </c>
      <c r="H43" s="524"/>
    </row>
    <row r="44" spans="1:14" ht="26.25" customHeight="1" x14ac:dyDescent="0.4">
      <c r="A44" s="498" t="s">
        <v>74</v>
      </c>
      <c r="B44" s="499">
        <v>1</v>
      </c>
      <c r="C44" s="527" t="s">
        <v>75</v>
      </c>
      <c r="D44" s="528">
        <f>D43*$B$34</f>
        <v>27.34</v>
      </c>
      <c r="E44" s="529"/>
      <c r="F44" s="528">
        <f>F43*$B$34</f>
        <v>29.89</v>
      </c>
      <c r="H44" s="524"/>
    </row>
    <row r="45" spans="1:14" ht="19.5" customHeight="1" x14ac:dyDescent="0.3">
      <c r="A45" s="498" t="s">
        <v>76</v>
      </c>
      <c r="B45" s="530">
        <f>(B44/B43)*(B42/B41)*(B40/B39)*(B38/B37)*B36</f>
        <v>250</v>
      </c>
      <c r="C45" s="527" t="s">
        <v>77</v>
      </c>
      <c r="D45" s="531">
        <f>D44*$B$30/100</f>
        <v>26.435045999999996</v>
      </c>
      <c r="E45" s="532"/>
      <c r="F45" s="531">
        <f>F44*$B$30/100</f>
        <v>28.900641</v>
      </c>
      <c r="H45" s="524"/>
    </row>
    <row r="46" spans="1:14" ht="19.5" customHeight="1" x14ac:dyDescent="0.3">
      <c r="A46" s="689" t="s">
        <v>78</v>
      </c>
      <c r="B46" s="690"/>
      <c r="C46" s="527" t="s">
        <v>79</v>
      </c>
      <c r="D46" s="533">
        <f>D45/$B$45</f>
        <v>0.10574018399999999</v>
      </c>
      <c r="E46" s="534"/>
      <c r="F46" s="535">
        <f>F45/$B$45</f>
        <v>0.115602564</v>
      </c>
      <c r="H46" s="524"/>
    </row>
    <row r="47" spans="1:14" ht="27" customHeight="1" x14ac:dyDescent="0.4">
      <c r="A47" s="691"/>
      <c r="B47" s="692"/>
      <c r="C47" s="536" t="s">
        <v>80</v>
      </c>
      <c r="D47" s="537">
        <v>0.12</v>
      </c>
      <c r="E47" s="538"/>
      <c r="F47" s="534"/>
      <c r="H47" s="524"/>
    </row>
    <row r="48" spans="1:14" ht="18.75" x14ac:dyDescent="0.3">
      <c r="C48" s="539" t="s">
        <v>81</v>
      </c>
      <c r="D48" s="531">
        <f>D47*$B$45</f>
        <v>30</v>
      </c>
      <c r="F48" s="540"/>
      <c r="H48" s="524"/>
    </row>
    <row r="49" spans="1:12" ht="19.5" customHeight="1" x14ac:dyDescent="0.3">
      <c r="C49" s="541" t="s">
        <v>82</v>
      </c>
      <c r="D49" s="542">
        <f>D48/B34</f>
        <v>30</v>
      </c>
      <c r="F49" s="540"/>
      <c r="H49" s="524"/>
    </row>
    <row r="50" spans="1:12" ht="18.75" x14ac:dyDescent="0.3">
      <c r="C50" s="496" t="s">
        <v>83</v>
      </c>
      <c r="D50" s="543">
        <f>AVERAGE(E38:E41,G38:G41)</f>
        <v>10309598.045960797</v>
      </c>
      <c r="F50" s="544"/>
      <c r="H50" s="524"/>
    </row>
    <row r="51" spans="1:12" ht="18.75" x14ac:dyDescent="0.3">
      <c r="C51" s="498" t="s">
        <v>84</v>
      </c>
      <c r="D51" s="545">
        <f>STDEV(E38:E41,G38:G41)/D50</f>
        <v>9.41372430357236E-3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85</v>
      </c>
    </row>
    <row r="55" spans="1:12" ht="18.75" x14ac:dyDescent="0.3">
      <c r="A55" s="473" t="s">
        <v>86</v>
      </c>
      <c r="B55" s="550" t="str">
        <f>B21</f>
        <v>Each film coated tablet contains Efavirenz 600mg, lamivudine 300mg and Tenofovir Disoproxil Fumarate 300 mg equivalent to Tenofovir Disoproxil 245 mg.</v>
      </c>
    </row>
    <row r="56" spans="1:12" ht="26.25" customHeight="1" x14ac:dyDescent="0.4">
      <c r="A56" s="551" t="s">
        <v>87</v>
      </c>
      <c r="B56" s="552">
        <v>600</v>
      </c>
      <c r="C56" s="473" t="str">
        <f>B20</f>
        <v xml:space="preserve">Efavirenz , Lamivudine  and Tenofovir Disoproxil Fumarate </v>
      </c>
      <c r="H56" s="553"/>
    </row>
    <row r="57" spans="1:12" ht="18.75" x14ac:dyDescent="0.3">
      <c r="A57" s="550" t="s">
        <v>88</v>
      </c>
      <c r="B57" s="621">
        <f>Uniformity!C46</f>
        <v>1765.4560000000001</v>
      </c>
      <c r="H57" s="553"/>
    </row>
    <row r="58" spans="1:12" ht="19.5" customHeight="1" x14ac:dyDescent="0.3">
      <c r="H58" s="553"/>
    </row>
    <row r="59" spans="1:12" s="14" customFormat="1" ht="27" customHeight="1" x14ac:dyDescent="0.4">
      <c r="A59" s="496" t="s">
        <v>89</v>
      </c>
      <c r="B59" s="497">
        <v>200</v>
      </c>
      <c r="C59" s="473"/>
      <c r="D59" s="554" t="s">
        <v>90</v>
      </c>
      <c r="E59" s="555" t="s">
        <v>62</v>
      </c>
      <c r="F59" s="555" t="s">
        <v>63</v>
      </c>
      <c r="G59" s="555" t="s">
        <v>91</v>
      </c>
      <c r="H59" s="500" t="s">
        <v>92</v>
      </c>
      <c r="L59" s="486"/>
    </row>
    <row r="60" spans="1:12" s="14" customFormat="1" ht="26.25" customHeight="1" x14ac:dyDescent="0.4">
      <c r="A60" s="498" t="s">
        <v>93</v>
      </c>
      <c r="B60" s="499">
        <v>4</v>
      </c>
      <c r="C60" s="693" t="s">
        <v>94</v>
      </c>
      <c r="D60" s="696">
        <f>Lamivudine!D60</f>
        <v>1800.33</v>
      </c>
      <c r="E60" s="556">
        <v>1</v>
      </c>
      <c r="F60" s="557"/>
      <c r="G60" s="622" t="str">
        <f>IF(ISBLANK(F60),"-",(F60/$D$50*$D$47*$B$68)*($B$57/$D$60))</f>
        <v>-</v>
      </c>
      <c r="H60" s="640" t="str">
        <f t="shared" ref="H60:H71" si="0">IF(ISBLANK(F60),"-",(G60/$B$56)*100)</f>
        <v>-</v>
      </c>
      <c r="L60" s="486"/>
    </row>
    <row r="61" spans="1:12" s="14" customFormat="1" ht="26.25" customHeight="1" x14ac:dyDescent="0.4">
      <c r="A61" s="498" t="s">
        <v>95</v>
      </c>
      <c r="B61" s="499">
        <v>100</v>
      </c>
      <c r="C61" s="694"/>
      <c r="D61" s="697"/>
      <c r="E61" s="558">
        <v>2</v>
      </c>
      <c r="F61" s="511"/>
      <c r="G61" s="623" t="str">
        <f>IF(ISBLANK(F61),"-",(F61/$D$50*$D$47*$B$68)*($B$57/$D$60))</f>
        <v>-</v>
      </c>
      <c r="H61" s="641" t="str">
        <f t="shared" si="0"/>
        <v>-</v>
      </c>
      <c r="L61" s="486"/>
    </row>
    <row r="62" spans="1:12" s="14" customFormat="1" ht="26.25" customHeight="1" x14ac:dyDescent="0.4">
      <c r="A62" s="498" t="s">
        <v>96</v>
      </c>
      <c r="B62" s="499">
        <v>1</v>
      </c>
      <c r="C62" s="694"/>
      <c r="D62" s="697"/>
      <c r="E62" s="558">
        <v>3</v>
      </c>
      <c r="F62" s="559"/>
      <c r="G62" s="623" t="str">
        <f>IF(ISBLANK(F62),"-",(F62/$D$50*$D$47*$B$68)*($B$57/$D$60))</f>
        <v>-</v>
      </c>
      <c r="H62" s="641" t="str">
        <f t="shared" si="0"/>
        <v>-</v>
      </c>
      <c r="L62" s="486"/>
    </row>
    <row r="63" spans="1:12" ht="27" customHeight="1" x14ac:dyDescent="0.4">
      <c r="A63" s="498" t="s">
        <v>97</v>
      </c>
      <c r="B63" s="499">
        <v>1</v>
      </c>
      <c r="C63" s="695"/>
      <c r="D63" s="698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98</v>
      </c>
      <c r="B64" s="499">
        <v>1</v>
      </c>
      <c r="C64" s="693" t="s">
        <v>99</v>
      </c>
      <c r="D64" s="696">
        <f>Lamivudine!D64</f>
        <v>1752.13</v>
      </c>
      <c r="E64" s="556">
        <v>1</v>
      </c>
      <c r="F64" s="557">
        <v>7877488</v>
      </c>
      <c r="G64" s="622">
        <f>IF(ISBLANK(F64),"-",(F64/$D$50*$D$47*$B$68)*($B$57/$D$64))</f>
        <v>461.94241449595455</v>
      </c>
      <c r="H64" s="640">
        <f t="shared" si="0"/>
        <v>76.990402415992421</v>
      </c>
    </row>
    <row r="65" spans="1:8" ht="26.25" customHeight="1" x14ac:dyDescent="0.4">
      <c r="A65" s="498" t="s">
        <v>100</v>
      </c>
      <c r="B65" s="499">
        <v>1</v>
      </c>
      <c r="C65" s="694"/>
      <c r="D65" s="697"/>
      <c r="E65" s="558">
        <v>2</v>
      </c>
      <c r="F65" s="511">
        <v>7899454</v>
      </c>
      <c r="G65" s="623">
        <f>IF(ISBLANK(F65),"-",(F65/$D$50*$D$47*$B$68)*($B$57/$D$64))</f>
        <v>463.23051891157758</v>
      </c>
      <c r="H65" s="641">
        <f t="shared" si="0"/>
        <v>77.205086485262925</v>
      </c>
    </row>
    <row r="66" spans="1:8" ht="26.25" customHeight="1" x14ac:dyDescent="0.4">
      <c r="A66" s="498" t="s">
        <v>101</v>
      </c>
      <c r="B66" s="499">
        <v>1</v>
      </c>
      <c r="C66" s="694"/>
      <c r="D66" s="697"/>
      <c r="E66" s="558">
        <v>3</v>
      </c>
      <c r="F66" s="511">
        <v>7915007</v>
      </c>
      <c r="G66" s="623">
        <f>IF(ISBLANK(F66),"-",(F66/$D$50*$D$47*$B$68)*($B$57/$D$64))</f>
        <v>464.1425597008058</v>
      </c>
      <c r="H66" s="641">
        <f t="shared" si="0"/>
        <v>77.357093283467634</v>
      </c>
    </row>
    <row r="67" spans="1:8" ht="27" customHeight="1" x14ac:dyDescent="0.4">
      <c r="A67" s="498" t="s">
        <v>102</v>
      </c>
      <c r="B67" s="499">
        <v>1</v>
      </c>
      <c r="C67" s="695"/>
      <c r="D67" s="698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103</v>
      </c>
      <c r="B68" s="562">
        <f>(B67/B66)*(B65/B64)*(B63/B62)*(B61/B60)*B59</f>
        <v>5000</v>
      </c>
      <c r="C68" s="693" t="s">
        <v>104</v>
      </c>
      <c r="D68" s="696">
        <f>Lamivudine!D68</f>
        <v>1757.01</v>
      </c>
      <c r="E68" s="556">
        <v>1</v>
      </c>
      <c r="F68" s="557">
        <v>7805340</v>
      </c>
      <c r="G68" s="622">
        <f>IF(ISBLANK(F68),"-",(F68/$D$50*$D$47*$B$68)*($B$57/$D$68))</f>
        <v>456.44032693916438</v>
      </c>
      <c r="H68" s="641">
        <f t="shared" si="0"/>
        <v>76.073387823194054</v>
      </c>
    </row>
    <row r="69" spans="1:8" ht="27" customHeight="1" x14ac:dyDescent="0.4">
      <c r="A69" s="546" t="s">
        <v>105</v>
      </c>
      <c r="B69" s="563">
        <f>(D47*B68)/B56*B57</f>
        <v>1765.4560000000001</v>
      </c>
      <c r="C69" s="694"/>
      <c r="D69" s="697"/>
      <c r="E69" s="558">
        <v>2</v>
      </c>
      <c r="F69" s="511">
        <v>7740510</v>
      </c>
      <c r="G69" s="623">
        <f>IF(ISBLANK(F69),"-",(F69/$D$50*$D$47*$B$68)*($B$57/$D$68))</f>
        <v>452.64920106950774</v>
      </c>
      <c r="H69" s="641">
        <f t="shared" si="0"/>
        <v>75.441533511584623</v>
      </c>
    </row>
    <row r="70" spans="1:8" ht="26.25" customHeight="1" x14ac:dyDescent="0.4">
      <c r="A70" s="706" t="s">
        <v>78</v>
      </c>
      <c r="B70" s="707"/>
      <c r="C70" s="694"/>
      <c r="D70" s="697"/>
      <c r="E70" s="558">
        <v>3</v>
      </c>
      <c r="F70" s="511">
        <v>7764979</v>
      </c>
      <c r="G70" s="623">
        <f>IF(ISBLANK(F70),"-",(F70/$D$50*$D$47*$B$68)*($B$57/$D$68))</f>
        <v>454.08009816814462</v>
      </c>
      <c r="H70" s="641">
        <f t="shared" si="0"/>
        <v>75.680016361357445</v>
      </c>
    </row>
    <row r="71" spans="1:8" ht="27" customHeight="1" x14ac:dyDescent="0.4">
      <c r="A71" s="708"/>
      <c r="B71" s="709"/>
      <c r="C71" s="705"/>
      <c r="D71" s="698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71</v>
      </c>
      <c r="G72" s="628">
        <f>AVERAGE(G60:G71)</f>
        <v>458.7475198808591</v>
      </c>
      <c r="H72" s="643">
        <f>AVERAGE(H60:H71)</f>
        <v>76.457919980143188</v>
      </c>
    </row>
    <row r="73" spans="1:8" ht="26.25" customHeight="1" x14ac:dyDescent="0.4">
      <c r="C73" s="564"/>
      <c r="D73" s="564"/>
      <c r="E73" s="564"/>
      <c r="F73" s="567" t="s">
        <v>84</v>
      </c>
      <c r="G73" s="627">
        <f>STDEV(G60:G71)/G72</f>
        <v>1.0842791721718877E-2</v>
      </c>
      <c r="H73" s="627">
        <f>STDEV(H60:H71)/H72</f>
        <v>1.0842791721718844E-2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6</v>
      </c>
      <c r="H74" s="570">
        <f>COUNT(H60:H71)</f>
        <v>6</v>
      </c>
    </row>
    <row r="76" spans="1:8" ht="26.25" customHeight="1" x14ac:dyDescent="0.4">
      <c r="A76" s="482" t="s">
        <v>106</v>
      </c>
      <c r="B76" s="571" t="s">
        <v>107</v>
      </c>
      <c r="C76" s="701" t="str">
        <f>B26</f>
        <v>Efavirenz</v>
      </c>
      <c r="D76" s="701"/>
      <c r="E76" s="572" t="s">
        <v>108</v>
      </c>
      <c r="F76" s="572"/>
      <c r="G76" s="573">
        <f>H72</f>
        <v>76.457919980143188</v>
      </c>
      <c r="H76" s="574"/>
    </row>
    <row r="77" spans="1:8" ht="18.75" x14ac:dyDescent="0.3">
      <c r="A77" s="481" t="s">
        <v>109</v>
      </c>
      <c r="B77" s="481" t="s">
        <v>110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687" t="str">
        <f>B26</f>
        <v>Efavirenz</v>
      </c>
      <c r="C79" s="687"/>
    </row>
    <row r="80" spans="1:8" ht="26.25" customHeight="1" x14ac:dyDescent="0.4">
      <c r="A80" s="483" t="s">
        <v>48</v>
      </c>
      <c r="B80" s="687" t="str">
        <f>B27</f>
        <v>ndqe201610156</v>
      </c>
      <c r="C80" s="687"/>
    </row>
    <row r="81" spans="1:12" ht="27" customHeight="1" x14ac:dyDescent="0.4">
      <c r="A81" s="483" t="s">
        <v>6</v>
      </c>
      <c r="B81" s="575">
        <f>B28</f>
        <v>96.69</v>
      </c>
    </row>
    <row r="82" spans="1:12" s="14" customFormat="1" ht="27" customHeight="1" x14ac:dyDescent="0.4">
      <c r="A82" s="483" t="s">
        <v>49</v>
      </c>
      <c r="B82" s="485">
        <v>0</v>
      </c>
      <c r="C82" s="678" t="s">
        <v>50</v>
      </c>
      <c r="D82" s="679"/>
      <c r="E82" s="679"/>
      <c r="F82" s="679"/>
      <c r="G82" s="680"/>
      <c r="I82" s="486"/>
      <c r="J82" s="486"/>
      <c r="K82" s="486"/>
      <c r="L82" s="486"/>
    </row>
    <row r="83" spans="1:12" s="14" customFormat="1" ht="19.5" customHeight="1" x14ac:dyDescent="0.3">
      <c r="A83" s="483" t="s">
        <v>51</v>
      </c>
      <c r="B83" s="487">
        <f>B81-B82</f>
        <v>96.69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52</v>
      </c>
      <c r="B84" s="490">
        <v>1</v>
      </c>
      <c r="C84" s="681" t="s">
        <v>111</v>
      </c>
      <c r="D84" s="682"/>
      <c r="E84" s="682"/>
      <c r="F84" s="682"/>
      <c r="G84" s="682"/>
      <c r="H84" s="683"/>
      <c r="I84" s="486"/>
      <c r="J84" s="486"/>
      <c r="K84" s="486"/>
      <c r="L84" s="486"/>
    </row>
    <row r="85" spans="1:12" s="14" customFormat="1" ht="27" customHeight="1" x14ac:dyDescent="0.4">
      <c r="A85" s="483" t="s">
        <v>54</v>
      </c>
      <c r="B85" s="490">
        <v>1</v>
      </c>
      <c r="C85" s="681" t="s">
        <v>112</v>
      </c>
      <c r="D85" s="682"/>
      <c r="E85" s="682"/>
      <c r="F85" s="682"/>
      <c r="G85" s="682"/>
      <c r="H85" s="683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56</v>
      </c>
      <c r="B87" s="495">
        <f>B84/B85</f>
        <v>1</v>
      </c>
      <c r="C87" s="473" t="s">
        <v>57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58</v>
      </c>
      <c r="B89" s="497">
        <v>25</v>
      </c>
      <c r="D89" s="576" t="s">
        <v>59</v>
      </c>
      <c r="E89" s="577"/>
      <c r="F89" s="684" t="s">
        <v>60</v>
      </c>
      <c r="G89" s="686"/>
    </row>
    <row r="90" spans="1:12" ht="27" customHeight="1" x14ac:dyDescent="0.4">
      <c r="A90" s="498" t="s">
        <v>61</v>
      </c>
      <c r="B90" s="499">
        <v>10</v>
      </c>
      <c r="C90" s="578" t="s">
        <v>62</v>
      </c>
      <c r="D90" s="501" t="s">
        <v>63</v>
      </c>
      <c r="E90" s="502" t="s">
        <v>64</v>
      </c>
      <c r="F90" s="501" t="s">
        <v>63</v>
      </c>
      <c r="G90" s="579" t="s">
        <v>64</v>
      </c>
      <c r="I90" s="504" t="s">
        <v>65</v>
      </c>
    </row>
    <row r="91" spans="1:12" ht="26.25" customHeight="1" x14ac:dyDescent="0.4">
      <c r="A91" s="498" t="s">
        <v>66</v>
      </c>
      <c r="B91" s="499">
        <v>20</v>
      </c>
      <c r="C91" s="580">
        <v>1</v>
      </c>
      <c r="D91" s="506">
        <v>88989801</v>
      </c>
      <c r="E91" s="507">
        <f>IF(ISBLANK(D91),"-",$D$101/$D$98*D91)</f>
        <v>88298240.351741135</v>
      </c>
      <c r="F91" s="506">
        <v>61493558</v>
      </c>
      <c r="G91" s="508">
        <f>IF(ISBLANK(F91),"-",$D$101/$F$98*F91)</f>
        <v>86293994.726112753</v>
      </c>
      <c r="I91" s="509"/>
    </row>
    <row r="92" spans="1:12" ht="26.25" customHeight="1" x14ac:dyDescent="0.4">
      <c r="A92" s="498" t="s">
        <v>67</v>
      </c>
      <c r="B92" s="499">
        <v>1</v>
      </c>
      <c r="C92" s="565">
        <v>2</v>
      </c>
      <c r="D92" s="511">
        <v>89052235</v>
      </c>
      <c r="E92" s="512">
        <f>IF(ISBLANK(D92),"-",$D$101/$D$98*D92)</f>
        <v>88360189.1624607</v>
      </c>
      <c r="F92" s="506">
        <v>61463022</v>
      </c>
      <c r="G92" s="513">
        <f>IF(ISBLANK(F92),"-",$D$101/$F$98*F92)</f>
        <v>86251143.515211016</v>
      </c>
      <c r="I92" s="688">
        <f>ABS((F96/D96*D95)-F95)/D95</f>
        <v>1.6871192829586015E-2</v>
      </c>
    </row>
    <row r="93" spans="1:12" ht="26.25" customHeight="1" x14ac:dyDescent="0.4">
      <c r="A93" s="498" t="s">
        <v>68</v>
      </c>
      <c r="B93" s="499">
        <v>1</v>
      </c>
      <c r="C93" s="565">
        <v>3</v>
      </c>
      <c r="D93" s="511">
        <v>89298776</v>
      </c>
      <c r="E93" s="512">
        <f>IF(ISBLANK(D93),"-",$D$101/$D$98*D93)</f>
        <v>88604814.2344345</v>
      </c>
      <c r="F93" s="511">
        <v>61561055</v>
      </c>
      <c r="G93" s="513">
        <f>IF(ISBLANK(F93),"-",$D$101/$F$98*F93)</f>
        <v>86388713.35927476</v>
      </c>
      <c r="I93" s="688"/>
    </row>
    <row r="94" spans="1:12" ht="27" customHeight="1" x14ac:dyDescent="0.4">
      <c r="A94" s="498" t="s">
        <v>69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70</v>
      </c>
      <c r="B95" s="499">
        <v>1</v>
      </c>
      <c r="C95" s="583" t="s">
        <v>71</v>
      </c>
      <c r="D95" s="584">
        <f>AVERAGE(D91:D94)</f>
        <v>89113604</v>
      </c>
      <c r="E95" s="522">
        <f>AVERAGE(E91:E94)</f>
        <v>88421081.24954544</v>
      </c>
      <c r="F95" s="585">
        <f>AVERAGE(F91:F94)</f>
        <v>61505878.333333336</v>
      </c>
      <c r="G95" s="586">
        <f>AVERAGE(G91:G94)</f>
        <v>86311283.866866171</v>
      </c>
    </row>
    <row r="96" spans="1:12" ht="26.25" customHeight="1" x14ac:dyDescent="0.4">
      <c r="A96" s="498" t="s">
        <v>72</v>
      </c>
      <c r="B96" s="484">
        <v>1</v>
      </c>
      <c r="C96" s="587" t="s">
        <v>113</v>
      </c>
      <c r="D96" s="588">
        <v>31.27</v>
      </c>
      <c r="E96" s="514"/>
      <c r="F96" s="526">
        <v>22.11</v>
      </c>
    </row>
    <row r="97" spans="1:10" ht="26.25" customHeight="1" x14ac:dyDescent="0.4">
      <c r="A97" s="498" t="s">
        <v>74</v>
      </c>
      <c r="B97" s="484">
        <v>1</v>
      </c>
      <c r="C97" s="589" t="s">
        <v>114</v>
      </c>
      <c r="D97" s="590">
        <f>D96*$B$87</f>
        <v>31.27</v>
      </c>
      <c r="E97" s="529"/>
      <c r="F97" s="528">
        <f>F96*$B$87</f>
        <v>22.11</v>
      </c>
    </row>
    <row r="98" spans="1:10" ht="19.5" customHeight="1" x14ac:dyDescent="0.3">
      <c r="A98" s="498" t="s">
        <v>76</v>
      </c>
      <c r="B98" s="591">
        <f>(B97/B96)*(B95/B94)*(B93/B92)*(B91/B90)*B89</f>
        <v>50</v>
      </c>
      <c r="C98" s="589" t="s">
        <v>115</v>
      </c>
      <c r="D98" s="592">
        <f>D97*$B$83/100</f>
        <v>30.234962999999997</v>
      </c>
      <c r="E98" s="532"/>
      <c r="F98" s="531">
        <f>F97*$B$83/100</f>
        <v>21.378159</v>
      </c>
    </row>
    <row r="99" spans="1:10" ht="19.5" customHeight="1" x14ac:dyDescent="0.3">
      <c r="A99" s="689" t="s">
        <v>78</v>
      </c>
      <c r="B99" s="703"/>
      <c r="C99" s="589" t="s">
        <v>116</v>
      </c>
      <c r="D99" s="593">
        <f>D98/$B$98</f>
        <v>0.60469925999999996</v>
      </c>
      <c r="E99" s="532"/>
      <c r="F99" s="535">
        <f>F98/$B$98</f>
        <v>0.42756317999999999</v>
      </c>
      <c r="G99" s="594"/>
      <c r="H99" s="524"/>
    </row>
    <row r="100" spans="1:10" ht="19.5" customHeight="1" x14ac:dyDescent="0.3">
      <c r="A100" s="691"/>
      <c r="B100" s="704"/>
      <c r="C100" s="589" t="s">
        <v>80</v>
      </c>
      <c r="D100" s="595">
        <f>$B$56/$B$116</f>
        <v>0.6</v>
      </c>
      <c r="F100" s="540"/>
      <c r="G100" s="596"/>
      <c r="H100" s="524"/>
    </row>
    <row r="101" spans="1:10" ht="18.75" x14ac:dyDescent="0.3">
      <c r="C101" s="589" t="s">
        <v>81</v>
      </c>
      <c r="D101" s="590">
        <f>D100*$B$98</f>
        <v>30</v>
      </c>
      <c r="F101" s="540"/>
      <c r="G101" s="594"/>
      <c r="H101" s="524"/>
    </row>
    <row r="102" spans="1:10" ht="19.5" customHeight="1" x14ac:dyDescent="0.3">
      <c r="C102" s="597" t="s">
        <v>82</v>
      </c>
      <c r="D102" s="598">
        <f>D101/B34</f>
        <v>30</v>
      </c>
      <c r="F102" s="544"/>
      <c r="G102" s="594"/>
      <c r="H102" s="524"/>
      <c r="J102" s="599"/>
    </row>
    <row r="103" spans="1:10" ht="18.75" x14ac:dyDescent="0.3">
      <c r="C103" s="600" t="s">
        <v>117</v>
      </c>
      <c r="D103" s="601">
        <f>AVERAGE(E91:E94,G91:G94)</f>
        <v>87366182.558205798</v>
      </c>
      <c r="F103" s="544"/>
      <c r="G103" s="602"/>
      <c r="H103" s="524"/>
      <c r="J103" s="603"/>
    </row>
    <row r="104" spans="1:10" ht="18.75" x14ac:dyDescent="0.3">
      <c r="C104" s="567" t="s">
        <v>84</v>
      </c>
      <c r="D104" s="604">
        <f>STDEV(E91:E94,G91:G94)/D103</f>
        <v>1.3288627656268101E-2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118</v>
      </c>
      <c r="B107" s="497">
        <v>1000</v>
      </c>
      <c r="C107" s="644" t="s">
        <v>119</v>
      </c>
      <c r="D107" s="644" t="s">
        <v>63</v>
      </c>
      <c r="E107" s="644" t="s">
        <v>120</v>
      </c>
      <c r="F107" s="606" t="s">
        <v>121</v>
      </c>
    </row>
    <row r="108" spans="1:10" ht="26.25" customHeight="1" x14ac:dyDescent="0.4">
      <c r="A108" s="498" t="s">
        <v>122</v>
      </c>
      <c r="B108" s="499">
        <v>1</v>
      </c>
      <c r="C108" s="649">
        <v>1</v>
      </c>
      <c r="D108" s="650">
        <v>39310603</v>
      </c>
      <c r="E108" s="624">
        <f t="shared" ref="E108:E113" si="1">IF(ISBLANK(D108),"-",D108/$D$103*$D$100*$B$116)</f>
        <v>269.97129906970702</v>
      </c>
      <c r="F108" s="651">
        <f t="shared" ref="F108:F113" si="2">IF(ISBLANK(D108), "-", (E108/$B$56)*100)</f>
        <v>44.995216511617834</v>
      </c>
    </row>
    <row r="109" spans="1:10" ht="26.25" customHeight="1" x14ac:dyDescent="0.4">
      <c r="A109" s="498" t="s">
        <v>95</v>
      </c>
      <c r="B109" s="499">
        <v>1</v>
      </c>
      <c r="C109" s="645">
        <v>2</v>
      </c>
      <c r="D109" s="647">
        <v>43673419</v>
      </c>
      <c r="E109" s="625">
        <f t="shared" si="1"/>
        <v>299.93357421267808</v>
      </c>
      <c r="F109" s="652">
        <f t="shared" si="2"/>
        <v>49.988929035446347</v>
      </c>
    </row>
    <row r="110" spans="1:10" ht="26.25" customHeight="1" x14ac:dyDescent="0.4">
      <c r="A110" s="498" t="s">
        <v>96</v>
      </c>
      <c r="B110" s="499">
        <v>1</v>
      </c>
      <c r="C110" s="645">
        <v>3</v>
      </c>
      <c r="D110" s="647">
        <v>57182229</v>
      </c>
      <c r="E110" s="625">
        <f t="shared" si="1"/>
        <v>392.70729698121079</v>
      </c>
      <c r="F110" s="652">
        <f t="shared" si="2"/>
        <v>65.451216163535136</v>
      </c>
    </row>
    <row r="111" spans="1:10" ht="26.25" customHeight="1" x14ac:dyDescent="0.4">
      <c r="A111" s="498" t="s">
        <v>97</v>
      </c>
      <c r="B111" s="499">
        <v>1</v>
      </c>
      <c r="C111" s="645">
        <v>4</v>
      </c>
      <c r="D111" s="647">
        <v>37429164</v>
      </c>
      <c r="E111" s="625">
        <f t="shared" si="1"/>
        <v>257.05024235250505</v>
      </c>
      <c r="F111" s="652">
        <f t="shared" si="2"/>
        <v>42.841707058750842</v>
      </c>
    </row>
    <row r="112" spans="1:10" ht="26.25" customHeight="1" x14ac:dyDescent="0.4">
      <c r="A112" s="498" t="s">
        <v>98</v>
      </c>
      <c r="B112" s="499">
        <v>1</v>
      </c>
      <c r="C112" s="645">
        <v>5</v>
      </c>
      <c r="D112" s="647">
        <v>31981280</v>
      </c>
      <c r="E112" s="625">
        <f t="shared" si="1"/>
        <v>219.63610447573242</v>
      </c>
      <c r="F112" s="652">
        <f t="shared" si="2"/>
        <v>36.606017412622073</v>
      </c>
    </row>
    <row r="113" spans="1:10" ht="27" customHeight="1" x14ac:dyDescent="0.4">
      <c r="A113" s="498" t="s">
        <v>100</v>
      </c>
      <c r="B113" s="499">
        <v>1</v>
      </c>
      <c r="C113" s="646">
        <v>6</v>
      </c>
      <c r="D113" s="648">
        <v>42789730</v>
      </c>
      <c r="E113" s="626">
        <f t="shared" si="1"/>
        <v>293.86471113002301</v>
      </c>
      <c r="F113" s="653">
        <f t="shared" si="2"/>
        <v>48.977451855003835</v>
      </c>
    </row>
    <row r="114" spans="1:10" ht="27" customHeight="1" x14ac:dyDescent="0.4">
      <c r="A114" s="498" t="s">
        <v>101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102</v>
      </c>
      <c r="B115" s="499">
        <v>1</v>
      </c>
      <c r="C115" s="607"/>
      <c r="D115" s="631" t="s">
        <v>71</v>
      </c>
      <c r="E115" s="633">
        <f>AVERAGE(E108:E113)</f>
        <v>288.8605380369761</v>
      </c>
      <c r="F115" s="655">
        <f>AVERAGE(F108:F113)</f>
        <v>48.143423006162671</v>
      </c>
    </row>
    <row r="116" spans="1:10" ht="27" customHeight="1" x14ac:dyDescent="0.4">
      <c r="A116" s="498" t="s">
        <v>103</v>
      </c>
      <c r="B116" s="530">
        <f>(B115/B114)*(B113/B112)*(B111/B110)*(B109/B108)*B107</f>
        <v>1000</v>
      </c>
      <c r="C116" s="608"/>
      <c r="D116" s="632" t="s">
        <v>84</v>
      </c>
      <c r="E116" s="630">
        <f>STDEV(E108:E113)/E115</f>
        <v>0.20240902699177693</v>
      </c>
      <c r="F116" s="609">
        <f>STDEV(F108:F113)/F115</f>
        <v>0.20240902699177862</v>
      </c>
      <c r="I116" s="472"/>
    </row>
    <row r="117" spans="1:10" ht="27" customHeight="1" x14ac:dyDescent="0.4">
      <c r="A117" s="689" t="s">
        <v>78</v>
      </c>
      <c r="B117" s="690"/>
      <c r="C117" s="610"/>
      <c r="D117" s="569" t="s">
        <v>20</v>
      </c>
      <c r="E117" s="635">
        <f>COUNT(E108:E113)</f>
        <v>6</v>
      </c>
      <c r="F117" s="636">
        <f>COUNT(F108:F113)</f>
        <v>6</v>
      </c>
      <c r="I117" s="472"/>
      <c r="J117" s="603"/>
    </row>
    <row r="118" spans="1:10" ht="26.25" customHeight="1" x14ac:dyDescent="0.3">
      <c r="A118" s="691"/>
      <c r="B118" s="692"/>
      <c r="C118" s="472"/>
      <c r="D118" s="634"/>
      <c r="E118" s="669" t="s">
        <v>123</v>
      </c>
      <c r="F118" s="670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124</v>
      </c>
      <c r="E119" s="637">
        <f>MIN(E108:E113)</f>
        <v>219.63610447573242</v>
      </c>
      <c r="F119" s="656">
        <f>MIN(F108:F113)</f>
        <v>36.606017412622073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125</v>
      </c>
      <c r="E120" s="638">
        <f>MAX(E108:E113)</f>
        <v>392.70729698121079</v>
      </c>
      <c r="F120" s="657">
        <f>MAX(F108:F113)</f>
        <v>65.451216163535136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106</v>
      </c>
      <c r="B124" s="571" t="s">
        <v>126</v>
      </c>
      <c r="C124" s="701" t="str">
        <f>B26</f>
        <v>Efavirenz</v>
      </c>
      <c r="D124" s="701"/>
      <c r="E124" s="572" t="s">
        <v>127</v>
      </c>
      <c r="F124" s="572"/>
      <c r="G124" s="658">
        <f>F115</f>
        <v>48.143423006162671</v>
      </c>
      <c r="H124" s="472"/>
      <c r="I124" s="472"/>
    </row>
    <row r="125" spans="1:10" ht="45.75" customHeight="1" x14ac:dyDescent="0.65">
      <c r="A125" s="482"/>
      <c r="B125" s="571" t="s">
        <v>128</v>
      </c>
      <c r="C125" s="483" t="s">
        <v>129</v>
      </c>
      <c r="D125" s="658">
        <f>MIN(F108:F113)</f>
        <v>36.606017412622073</v>
      </c>
      <c r="E125" s="583" t="s">
        <v>130</v>
      </c>
      <c r="F125" s="658">
        <f>MAX(F108:F113)</f>
        <v>65.451216163535136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702" t="s">
        <v>26</v>
      </c>
      <c r="C127" s="702"/>
      <c r="E127" s="578" t="s">
        <v>27</v>
      </c>
      <c r="F127" s="613"/>
      <c r="G127" s="702" t="s">
        <v>28</v>
      </c>
      <c r="H127" s="702"/>
    </row>
    <row r="128" spans="1:10" ht="69.95" customHeight="1" x14ac:dyDescent="0.3">
      <c r="A128" s="614" t="s">
        <v>29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30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46" sqref="B46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137</v>
      </c>
      <c r="C18" s="72"/>
      <c r="D18" s="72"/>
      <c r="E18" s="72"/>
    </row>
    <row r="19" spans="1:5" ht="16.5" customHeight="1" x14ac:dyDescent="0.3">
      <c r="A19" s="75" t="s">
        <v>6</v>
      </c>
      <c r="B19" s="12">
        <v>98.8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14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B20/25*5/50</f>
        <v>5.6000000000000008E-2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2223268</v>
      </c>
      <c r="C24" s="18">
        <v>57071.46</v>
      </c>
      <c r="D24" s="19">
        <v>1.05</v>
      </c>
      <c r="E24" s="20">
        <v>16.12</v>
      </c>
    </row>
    <row r="25" spans="1:5" ht="16.5" customHeight="1" x14ac:dyDescent="0.3">
      <c r="A25" s="17">
        <v>2</v>
      </c>
      <c r="B25" s="18">
        <v>2210189</v>
      </c>
      <c r="C25" s="18">
        <v>56737.72</v>
      </c>
      <c r="D25" s="19">
        <v>1.06</v>
      </c>
      <c r="E25" s="19">
        <v>16.12</v>
      </c>
    </row>
    <row r="26" spans="1:5" ht="16.5" customHeight="1" x14ac:dyDescent="0.3">
      <c r="A26" s="17">
        <v>3</v>
      </c>
      <c r="B26" s="18">
        <v>2172644</v>
      </c>
      <c r="C26" s="18">
        <v>56831.69</v>
      </c>
      <c r="D26" s="19">
        <v>1.04</v>
      </c>
      <c r="E26" s="19">
        <v>16.12</v>
      </c>
    </row>
    <row r="27" spans="1:5" ht="16.5" customHeight="1" x14ac:dyDescent="0.3">
      <c r="A27" s="17">
        <v>4</v>
      </c>
      <c r="B27" s="18">
        <v>2183780</v>
      </c>
      <c r="C27" s="18">
        <v>57311.43</v>
      </c>
      <c r="D27" s="19">
        <v>1.05</v>
      </c>
      <c r="E27" s="19">
        <v>16.12</v>
      </c>
    </row>
    <row r="28" spans="1:5" ht="16.5" customHeight="1" x14ac:dyDescent="0.3">
      <c r="A28" s="17">
        <v>5</v>
      </c>
      <c r="B28" s="18">
        <v>2179367</v>
      </c>
      <c r="C28" s="18">
        <v>57484.84</v>
      </c>
      <c r="D28" s="19">
        <v>1.07</v>
      </c>
      <c r="E28" s="19">
        <v>16.12</v>
      </c>
    </row>
    <row r="29" spans="1:5" ht="16.5" customHeight="1" x14ac:dyDescent="0.3">
      <c r="A29" s="17">
        <v>6</v>
      </c>
      <c r="B29" s="21">
        <v>2212205</v>
      </c>
      <c r="C29" s="21">
        <v>57027.53</v>
      </c>
      <c r="D29" s="22">
        <v>1.07</v>
      </c>
      <c r="E29" s="22">
        <v>16.12</v>
      </c>
    </row>
    <row r="30" spans="1:5" ht="16.5" customHeight="1" x14ac:dyDescent="0.3">
      <c r="A30" s="23" t="s">
        <v>18</v>
      </c>
      <c r="B30" s="24">
        <f>AVERAGE(B24:B29)</f>
        <v>2196908.8333333335</v>
      </c>
      <c r="C30" s="25">
        <f>AVERAGE(C24:C29)</f>
        <v>57077.445000000007</v>
      </c>
      <c r="D30" s="26">
        <f>AVERAGE(D24:D29)</f>
        <v>1.0566666666666669</v>
      </c>
      <c r="E30" s="26">
        <f>AVERAGE(E24:E29)</f>
        <v>16.12</v>
      </c>
    </row>
    <row r="31" spans="1:5" ht="16.5" customHeight="1" x14ac:dyDescent="0.3">
      <c r="A31" s="27" t="s">
        <v>19</v>
      </c>
      <c r="B31" s="28">
        <f>(STDEV(B24:B29)/B30)</f>
        <v>9.4914657445943004E-3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137</v>
      </c>
      <c r="C39" s="72"/>
      <c r="D39" s="72"/>
      <c r="E39" s="72"/>
    </row>
    <row r="40" spans="1:5" ht="16.5" customHeight="1" x14ac:dyDescent="0.3">
      <c r="A40" s="75" t="s">
        <v>6</v>
      </c>
      <c r="B40" s="12">
        <v>98.8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14.71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B41/25*10/20</f>
        <v>0.29420000000000002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28392051</v>
      </c>
      <c r="C45" s="18">
        <v>53819.12</v>
      </c>
      <c r="D45" s="19">
        <v>1.07</v>
      </c>
      <c r="E45" s="20">
        <v>16.04</v>
      </c>
    </row>
    <row r="46" spans="1:5" ht="16.5" customHeight="1" x14ac:dyDescent="0.3">
      <c r="A46" s="17">
        <v>2</v>
      </c>
      <c r="B46" s="18">
        <v>28384383</v>
      </c>
      <c r="C46" s="18">
        <v>54163.32</v>
      </c>
      <c r="D46" s="19">
        <v>1.07</v>
      </c>
      <c r="E46" s="19">
        <v>16.04</v>
      </c>
    </row>
    <row r="47" spans="1:5" ht="16.5" customHeight="1" x14ac:dyDescent="0.3">
      <c r="A47" s="17">
        <v>3</v>
      </c>
      <c r="B47" s="18">
        <v>28387966</v>
      </c>
      <c r="C47" s="18">
        <v>54473.13</v>
      </c>
      <c r="D47" s="19">
        <v>1.07</v>
      </c>
      <c r="E47" s="19">
        <v>16.04</v>
      </c>
    </row>
    <row r="48" spans="1:5" ht="16.5" customHeight="1" x14ac:dyDescent="0.3">
      <c r="A48" s="17">
        <v>4</v>
      </c>
      <c r="B48" s="18">
        <v>28298287</v>
      </c>
      <c r="C48" s="18">
        <v>55232.95</v>
      </c>
      <c r="D48" s="19">
        <v>1.07</v>
      </c>
      <c r="E48" s="19">
        <v>16.04</v>
      </c>
    </row>
    <row r="49" spans="1:7" ht="16.5" customHeight="1" x14ac:dyDescent="0.3">
      <c r="A49" s="17">
        <v>5</v>
      </c>
      <c r="B49" s="18">
        <v>28343882</v>
      </c>
      <c r="C49" s="18">
        <v>55578.23</v>
      </c>
      <c r="D49" s="19">
        <v>1.07</v>
      </c>
      <c r="E49" s="19">
        <v>16.04</v>
      </c>
    </row>
    <row r="50" spans="1:7" ht="16.5" customHeight="1" x14ac:dyDescent="0.3">
      <c r="A50" s="17">
        <v>6</v>
      </c>
      <c r="B50" s="21">
        <v>28369671</v>
      </c>
      <c r="C50" s="21">
        <v>55572.81</v>
      </c>
      <c r="D50" s="22">
        <v>1.07</v>
      </c>
      <c r="E50" s="22">
        <v>16.04</v>
      </c>
    </row>
    <row r="51" spans="1:7" ht="16.5" customHeight="1" x14ac:dyDescent="0.3">
      <c r="A51" s="23" t="s">
        <v>18</v>
      </c>
      <c r="B51" s="24">
        <f>AVERAGE(B45:B50)</f>
        <v>28362706.666666668</v>
      </c>
      <c r="C51" s="25">
        <f>AVERAGE(C45:C50)</f>
        <v>54806.593333333331</v>
      </c>
      <c r="D51" s="26">
        <f>AVERAGE(D45:D50)</f>
        <v>1.07</v>
      </c>
      <c r="E51" s="26">
        <f>AVERAGE(E45:E50)</f>
        <v>16.039999999999996</v>
      </c>
    </row>
    <row r="52" spans="1:7" ht="16.5" customHeight="1" x14ac:dyDescent="0.3">
      <c r="A52" s="27" t="s">
        <v>19</v>
      </c>
      <c r="B52" s="28">
        <f>(STDEV(B45:B50)/B51)</f>
        <v>1.2733547761065948E-3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D54" sqref="D54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17.010000000000002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B20/25*5/50</f>
        <v>6.8040000000000017E-2</v>
      </c>
      <c r="C21" s="72"/>
      <c r="D21" s="72"/>
      <c r="E21" s="72"/>
    </row>
    <row r="22" spans="1:5" ht="15.75" customHeight="1" x14ac:dyDescent="0.25">
      <c r="A22" s="72"/>
      <c r="B22" s="72" t="s">
        <v>12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3758624</v>
      </c>
      <c r="C24" s="18">
        <v>7830.92</v>
      </c>
      <c r="D24" s="19">
        <v>1.06</v>
      </c>
      <c r="E24" s="20">
        <v>5.01</v>
      </c>
    </row>
    <row r="25" spans="1:5" ht="16.5" customHeight="1" x14ac:dyDescent="0.3">
      <c r="A25" s="17">
        <v>2</v>
      </c>
      <c r="B25" s="18">
        <v>3776591</v>
      </c>
      <c r="C25" s="18">
        <v>7717.9</v>
      </c>
      <c r="D25" s="19">
        <v>1.06</v>
      </c>
      <c r="E25" s="19">
        <v>5.01</v>
      </c>
    </row>
    <row r="26" spans="1:5" ht="16.5" customHeight="1" x14ac:dyDescent="0.3">
      <c r="A26" s="17">
        <v>3</v>
      </c>
      <c r="B26" s="18">
        <v>3724393</v>
      </c>
      <c r="C26" s="18">
        <v>7669.23</v>
      </c>
      <c r="D26" s="19">
        <v>1.08</v>
      </c>
      <c r="E26" s="19">
        <v>5.01</v>
      </c>
    </row>
    <row r="27" spans="1:5" ht="16.5" customHeight="1" x14ac:dyDescent="0.3">
      <c r="A27" s="17">
        <v>4</v>
      </c>
      <c r="B27" s="18">
        <v>3745267</v>
      </c>
      <c r="C27" s="18">
        <v>7769.51</v>
      </c>
      <c r="D27" s="19">
        <v>1.08</v>
      </c>
      <c r="E27" s="19">
        <v>5.01</v>
      </c>
    </row>
    <row r="28" spans="1:5" ht="16.5" customHeight="1" x14ac:dyDescent="0.3">
      <c r="A28" s="17">
        <v>5</v>
      </c>
      <c r="B28" s="18">
        <v>3758017</v>
      </c>
      <c r="C28" s="18">
        <v>7797.51</v>
      </c>
      <c r="D28" s="19">
        <v>1.08</v>
      </c>
      <c r="E28" s="19">
        <v>5.01</v>
      </c>
    </row>
    <row r="29" spans="1:5" ht="16.5" customHeight="1" x14ac:dyDescent="0.3">
      <c r="A29" s="17">
        <v>6</v>
      </c>
      <c r="B29" s="21">
        <v>3833531</v>
      </c>
      <c r="C29" s="21">
        <v>7789.44</v>
      </c>
      <c r="D29" s="22">
        <v>1.08</v>
      </c>
      <c r="E29" s="22">
        <v>5.01</v>
      </c>
    </row>
    <row r="30" spans="1:5" ht="16.5" customHeight="1" x14ac:dyDescent="0.3">
      <c r="A30" s="23" t="s">
        <v>18</v>
      </c>
      <c r="B30" s="24">
        <f>AVERAGE(B24:B29)</f>
        <v>3766070.5</v>
      </c>
      <c r="C30" s="25">
        <f>AVERAGE(C24:C29)</f>
        <v>7762.418333333334</v>
      </c>
      <c r="D30" s="26">
        <f>AVERAGE(D24:D29)</f>
        <v>1.0733333333333335</v>
      </c>
      <c r="E30" s="26">
        <f>AVERAGE(E24:E29)</f>
        <v>5.0099999999999989</v>
      </c>
    </row>
    <row r="31" spans="1:5" ht="16.5" customHeight="1" x14ac:dyDescent="0.3">
      <c r="A31" s="27" t="s">
        <v>19</v>
      </c>
      <c r="B31" s="28">
        <f>(STDEV(B24:B29)/B30)</f>
        <v>9.900846759114082E-3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99.8</v>
      </c>
      <c r="C40" s="72"/>
      <c r="D40" s="72"/>
      <c r="E40" s="72"/>
    </row>
    <row r="41" spans="1:5" ht="16.5" customHeight="1" x14ac:dyDescent="0.3">
      <c r="A41" s="8" t="s">
        <v>8</v>
      </c>
      <c r="B41" s="12">
        <v>15.96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B41/25*10/20</f>
        <v>0.31920000000000004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34960002</v>
      </c>
      <c r="C45" s="18">
        <v>6623.15</v>
      </c>
      <c r="D45" s="19">
        <v>1.07</v>
      </c>
      <c r="E45" s="20">
        <v>4.88</v>
      </c>
    </row>
    <row r="46" spans="1:5" ht="16.5" customHeight="1" x14ac:dyDescent="0.3">
      <c r="A46" s="17">
        <v>2</v>
      </c>
      <c r="B46" s="18">
        <v>34987086</v>
      </c>
      <c r="C46" s="18">
        <v>6867.52</v>
      </c>
      <c r="D46" s="19">
        <v>1.07</v>
      </c>
      <c r="E46" s="19">
        <v>4.88</v>
      </c>
    </row>
    <row r="47" spans="1:5" ht="16.5" customHeight="1" x14ac:dyDescent="0.3">
      <c r="A47" s="17">
        <v>3</v>
      </c>
      <c r="B47" s="18">
        <v>35175902</v>
      </c>
      <c r="C47" s="18">
        <v>7166.95</v>
      </c>
      <c r="D47" s="19">
        <v>1.07</v>
      </c>
      <c r="E47" s="19">
        <v>4.88</v>
      </c>
    </row>
    <row r="48" spans="1:5" ht="16.5" customHeight="1" x14ac:dyDescent="0.3">
      <c r="A48" s="17">
        <v>4</v>
      </c>
      <c r="B48" s="18">
        <v>34899502</v>
      </c>
      <c r="C48" s="18">
        <v>7253.79</v>
      </c>
      <c r="D48" s="19">
        <v>1.07</v>
      </c>
      <c r="E48" s="19">
        <v>4.88</v>
      </c>
    </row>
    <row r="49" spans="1:7" ht="16.5" customHeight="1" x14ac:dyDescent="0.3">
      <c r="A49" s="17">
        <v>5</v>
      </c>
      <c r="B49" s="18">
        <v>35131474</v>
      </c>
      <c r="C49" s="18">
        <v>7371.74</v>
      </c>
      <c r="D49" s="19">
        <v>1.07</v>
      </c>
      <c r="E49" s="19">
        <v>4.88</v>
      </c>
    </row>
    <row r="50" spans="1:7" ht="16.5" customHeight="1" x14ac:dyDescent="0.3">
      <c r="A50" s="17">
        <v>6</v>
      </c>
      <c r="B50" s="21">
        <v>35110954</v>
      </c>
      <c r="C50" s="21">
        <v>7436.24</v>
      </c>
      <c r="D50" s="22">
        <v>1.07</v>
      </c>
      <c r="E50" s="22">
        <v>4.88</v>
      </c>
    </row>
    <row r="51" spans="1:7" ht="16.5" customHeight="1" x14ac:dyDescent="0.3">
      <c r="A51" s="23" t="s">
        <v>18</v>
      </c>
      <c r="B51" s="24">
        <f>AVERAGE(B45:B50)</f>
        <v>35044153.333333336</v>
      </c>
      <c r="C51" s="25">
        <f>AVERAGE(C45:C50)</f>
        <v>7119.8983333333335</v>
      </c>
      <c r="D51" s="26">
        <f>AVERAGE(D45:D50)</f>
        <v>1.07</v>
      </c>
      <c r="E51" s="26">
        <f>AVERAGE(E45:E50)</f>
        <v>4.88</v>
      </c>
    </row>
    <row r="52" spans="1:7" ht="16.5" customHeight="1" x14ac:dyDescent="0.3">
      <c r="A52" s="27" t="s">
        <v>19</v>
      </c>
      <c r="B52" s="28">
        <f>(STDEV(B45:B50)/B51)</f>
        <v>3.1442645482937155E-3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8:K29"/>
  <sheetViews>
    <sheetView workbookViewId="0">
      <selection activeCell="K30" sqref="K30"/>
    </sheetView>
  </sheetViews>
  <sheetFormatPr defaultRowHeight="12.75" x14ac:dyDescent="0.2"/>
  <sheetData>
    <row r="28" spans="11:11" x14ac:dyDescent="0.2">
      <c r="K28">
        <f>30.18/EFAVIRENZ!D96</f>
        <v>0.96514230892228969</v>
      </c>
    </row>
    <row r="29" spans="11:11" x14ac:dyDescent="0.2">
      <c r="K29">
        <f>K28*EFAVIRENZ!F91</f>
        <v>59350034.551966742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SST EFF</vt:lpstr>
      <vt:lpstr>Uniformity</vt:lpstr>
      <vt:lpstr>Tenofovir Disoproxil Fumurate</vt:lpstr>
      <vt:lpstr>Lamivudine</vt:lpstr>
      <vt:lpstr>EFAVIRENZ</vt:lpstr>
      <vt:lpstr>SST TDF</vt:lpstr>
      <vt:lpstr>sst lamivudine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2017-05-05T09:41:51Z</cp:lastPrinted>
  <dcterms:created xsi:type="dcterms:W3CDTF">2005-07-05T10:19:27Z</dcterms:created>
  <dcterms:modified xsi:type="dcterms:W3CDTF">2017-05-09T07:41:56Z</dcterms:modified>
</cp:coreProperties>
</file>