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EFAVIRENZ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C124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9" i="2"/>
  <c r="C46" i="2"/>
  <c r="B57" i="3" s="1"/>
  <c r="C45" i="2"/>
  <c r="D43" i="2"/>
  <c r="D39" i="2"/>
  <c r="D35" i="2"/>
  <c r="D31" i="2"/>
  <c r="D29" i="2"/>
  <c r="D27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3" l="1"/>
  <c r="D101" i="3"/>
  <c r="D102" i="3" s="1"/>
  <c r="I92" i="3"/>
  <c r="F44" i="3"/>
  <c r="F45" i="3" s="1"/>
  <c r="G41" i="3" s="1"/>
  <c r="D45" i="3"/>
  <c r="E39" i="3" s="1"/>
  <c r="B69" i="3"/>
  <c r="F98" i="3"/>
  <c r="F99" i="3" s="1"/>
  <c r="C50" i="2"/>
  <c r="D97" i="3"/>
  <c r="D98" i="3" s="1"/>
  <c r="D99" i="3" s="1"/>
  <c r="D33" i="2"/>
  <c r="D37" i="2"/>
  <c r="D41" i="2"/>
  <c r="D26" i="2"/>
  <c r="D30" i="2"/>
  <c r="D34" i="2"/>
  <c r="D38" i="2"/>
  <c r="D42" i="2"/>
  <c r="B49" i="2"/>
  <c r="D50" i="2"/>
  <c r="D49" i="3"/>
  <c r="D24" i="2"/>
  <c r="D28" i="2"/>
  <c r="D32" i="2"/>
  <c r="D36" i="2"/>
  <c r="D40" i="2"/>
  <c r="D49" i="2"/>
  <c r="G40" i="3" l="1"/>
  <c r="E41" i="3"/>
  <c r="F46" i="3"/>
  <c r="G39" i="3"/>
  <c r="E40" i="3"/>
  <c r="E38" i="3"/>
  <c r="G38" i="3"/>
  <c r="D46" i="3"/>
  <c r="E94" i="3"/>
  <c r="E93" i="3"/>
  <c r="G91" i="3"/>
  <c r="G94" i="3"/>
  <c r="E92" i="3"/>
  <c r="G92" i="3"/>
  <c r="G93" i="3"/>
  <c r="E91" i="3"/>
  <c r="G42" i="3" l="1"/>
  <c r="E42" i="3"/>
  <c r="D52" i="3"/>
  <c r="D50" i="3"/>
  <c r="G70" i="3" s="1"/>
  <c r="H70" i="3" s="1"/>
  <c r="G95" i="3"/>
  <c r="D103" i="3"/>
  <c r="E95" i="3"/>
  <c r="D105" i="3"/>
  <c r="G64" i="3" l="1"/>
  <c r="H64" i="3" s="1"/>
  <c r="G71" i="3"/>
  <c r="H71" i="3" s="1"/>
  <c r="D51" i="3"/>
  <c r="G60" i="3"/>
  <c r="H60" i="3" s="1"/>
  <c r="G62" i="3"/>
  <c r="H62" i="3" s="1"/>
  <c r="G67" i="3"/>
  <c r="H67" i="3" s="1"/>
  <c r="G63" i="3"/>
  <c r="H63" i="3" s="1"/>
  <c r="G66" i="3"/>
  <c r="H66" i="3" s="1"/>
  <c r="G65" i="3"/>
  <c r="H65" i="3" s="1"/>
  <c r="G68" i="3"/>
  <c r="H68" i="3" s="1"/>
  <c r="G69" i="3"/>
  <c r="H69" i="3" s="1"/>
  <c r="G61" i="3"/>
  <c r="H61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72" i="3" l="1"/>
  <c r="G73" i="3" s="1"/>
  <c r="G74" i="3"/>
  <c r="E120" i="3"/>
  <c r="E117" i="3"/>
  <c r="F108" i="3"/>
  <c r="E115" i="3"/>
  <c r="E116" i="3" s="1"/>
  <c r="E119" i="3"/>
  <c r="H74" i="3"/>
  <c r="H72" i="3"/>
  <c r="G76" i="3" l="1"/>
  <c r="H73" i="3"/>
  <c r="F125" i="3"/>
  <c r="F120" i="3"/>
  <c r="F117" i="3"/>
  <c r="D125" i="3"/>
  <c r="F115" i="3"/>
  <c r="F119" i="3"/>
  <c r="G124" i="3" l="1"/>
  <c r="F116" i="3"/>
</calcChain>
</file>

<file path=xl/sharedStrings.xml><?xml version="1.0" encoding="utf-8"?>
<sst xmlns="http://schemas.openxmlformats.org/spreadsheetml/2006/main" count="239" uniqueCount="133">
  <si>
    <t>HPLC System Suitability Report</t>
  </si>
  <si>
    <t>Analysis Data</t>
  </si>
  <si>
    <t>Assay</t>
  </si>
  <si>
    <t>Sample(s)</t>
  </si>
  <si>
    <t>Reference Substance:</t>
  </si>
  <si>
    <t>EFAVIRENZ 600MG TABLETS</t>
  </si>
  <si>
    <t>% age Purity:</t>
  </si>
  <si>
    <t>NDQB201701319</t>
  </si>
  <si>
    <t>Weight (mg):</t>
  </si>
  <si>
    <t>EFAVIRENZ</t>
  </si>
  <si>
    <t>Standard Conc (mg/mL):</t>
  </si>
  <si>
    <t>Each film-coated tablet contains Efavirenz 600mg.</t>
  </si>
  <si>
    <t>2017-01-11 09:27:27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</si>
  <si>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</si>
  <si>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</si>
  <si>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</si>
  <si>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</si>
  <si>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</si>
  <si>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</si>
  <si>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</si>
  <si>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</si>
  <si>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</si>
  <si>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</si>
  <si>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</si>
  <si>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</si>
  <si>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</si>
  <si>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</si>
  <si>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</si>
  <si>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</si>
  <si>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</si>
  <si>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</si>
  <si>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</si>
  <si>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</si>
  <si>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</si>
  <si>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</si>
  <si>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</si>
  <si>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</si>
  <si>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</si>
  <si>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</si>
  <si>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</si>
  <si>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</si>
  <si>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</si>
  <si>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</si>
  <si>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</si>
  <si>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</si>
  <si>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</si>
  <si>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</si>
  <si>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</si>
  <si>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</si>
  <si>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</si>
  <si>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</si>
  <si>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</si>
  <si>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</si>
  <si>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</si>
  <si>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</si>
  <si>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</si>
  <si>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</si>
  <si>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</si>
  <si>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</si>
  <si>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</si>
  <si>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</si>
  <si>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</si>
  <si>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</si>
  <si>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</si>
  <si>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</si>
  <si>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</si>
  <si>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</si>
  <si>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</si>
  <si>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</si>
  <si>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</si>
  <si>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</si>
  <si>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</si>
  <si>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</si>
  <si>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</si>
  <si>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</si>
  <si>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</si>
  <si>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</si>
  <si>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</si>
  <si>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</si>
  <si>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</si>
  <si>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</si>
  <si>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</si>
  <si>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</si>
  <si>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</si>
  <si>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</si>
  <si>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</si>
  <si>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</si>
  <si>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</si>
  <si>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</si>
  <si>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</si>
  <si>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</si>
  <si>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</si>
  <si>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</si>
  <si>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</si>
  <si>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</si>
  <si>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</si>
  <si>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</si>
  <si>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</si>
  <si>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</si>
  <si>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</si>
  <si>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</si>
  <si>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</si>
  <si>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</si>
  <si>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</si>
  <si>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</si>
  <si>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</si>
  <si>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</si>
  <si>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</si>
  <si>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</si>
  <si>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</si>
  <si>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</si>
  <si>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</si>
  <si>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</si>
  <si>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</si>
  <si>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</si>
  <si>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</si>
  <si>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</si>
  <si>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</si>
  <si>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</si>
  <si>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</si>
  <si>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</si>
  <si>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</si>
  <si>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</si>
  <si>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</si>
  <si>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</si>
  <si>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</si>
  <si>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</si>
  <si>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</si>
  <si>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</si>
  <si>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</si>
  <si>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</si>
  <si>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E4-4</t>
  </si>
  <si>
    <t>Efavirenz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</si>
</sst>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4" workbookViewId="0">
      <selection activeCell="A58" sqref="A5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2" t="s">
        <v>0</v>
      </c>
      <c r="B15" s="282"/>
      <c r="C15" s="282"/>
      <c r="D15" s="282"/>
      <c r="E15" s="28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132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98.9</v>
      </c>
      <c r="C19" s="10"/>
      <c r="D19" s="10"/>
      <c r="E19" s="10"/>
    </row>
    <row r="20" spans="1:6" ht="16.5" customHeight="1" x14ac:dyDescent="0.3">
      <c r="A20" s="7" t="s">
        <v>8</v>
      </c>
      <c r="B20" s="12">
        <v>12.08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0.24160000000000001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56838531</v>
      </c>
      <c r="C24" s="18">
        <v>7921.7</v>
      </c>
      <c r="D24" s="19">
        <v>1.1000000000000001</v>
      </c>
      <c r="E24" s="20">
        <v>4.5999999999999996</v>
      </c>
    </row>
    <row r="25" spans="1:6" ht="16.5" customHeight="1" x14ac:dyDescent="0.3">
      <c r="A25" s="17">
        <v>2</v>
      </c>
      <c r="B25" s="18">
        <v>57339604</v>
      </c>
      <c r="C25" s="18">
        <v>7869.8</v>
      </c>
      <c r="D25" s="19">
        <v>1.1000000000000001</v>
      </c>
      <c r="E25" s="19">
        <v>4.5999999999999996</v>
      </c>
    </row>
    <row r="26" spans="1:6" ht="16.5" customHeight="1" x14ac:dyDescent="0.3">
      <c r="A26" s="17">
        <v>3</v>
      </c>
      <c r="B26" s="18">
        <v>57320968</v>
      </c>
      <c r="C26" s="18">
        <v>7820.9</v>
      </c>
      <c r="D26" s="19">
        <v>1.1000000000000001</v>
      </c>
      <c r="E26" s="19">
        <v>4.5999999999999996</v>
      </c>
    </row>
    <row r="27" spans="1:6" ht="16.5" customHeight="1" x14ac:dyDescent="0.3">
      <c r="A27" s="17">
        <v>4</v>
      </c>
      <c r="B27" s="18">
        <v>57058127</v>
      </c>
      <c r="C27" s="18">
        <v>7908.3</v>
      </c>
      <c r="D27" s="19">
        <v>1.1000000000000001</v>
      </c>
      <c r="E27" s="19">
        <v>4.5999999999999996</v>
      </c>
    </row>
    <row r="28" spans="1:6" ht="16.5" customHeight="1" x14ac:dyDescent="0.3">
      <c r="A28" s="17">
        <v>5</v>
      </c>
      <c r="B28" s="18">
        <v>57367030</v>
      </c>
      <c r="C28" s="18">
        <v>7861.2</v>
      </c>
      <c r="D28" s="19">
        <v>1.1000000000000001</v>
      </c>
      <c r="E28" s="19">
        <v>4.5999999999999996</v>
      </c>
    </row>
    <row r="29" spans="1:6" ht="16.5" customHeight="1" x14ac:dyDescent="0.3">
      <c r="A29" s="17">
        <v>6</v>
      </c>
      <c r="B29" s="21">
        <v>57448234</v>
      </c>
      <c r="C29" s="21">
        <v>7865.7</v>
      </c>
      <c r="D29" s="22">
        <v>1.1000000000000001</v>
      </c>
      <c r="E29" s="22">
        <v>4.5999999999999996</v>
      </c>
    </row>
    <row r="30" spans="1:6" ht="16.5" customHeight="1" x14ac:dyDescent="0.3">
      <c r="A30" s="23" t="s">
        <v>18</v>
      </c>
      <c r="B30" s="24">
        <f>AVERAGE(B24:B29)</f>
        <v>57228749</v>
      </c>
      <c r="C30" s="25">
        <f>AVERAGE(C24:C29)</f>
        <v>7874.5999999999995</v>
      </c>
      <c r="D30" s="26">
        <f>AVERAGE(D24:D29)</f>
        <v>1.0999999999999999</v>
      </c>
      <c r="E30" s="26">
        <f>AVERAGE(E24:E29)</f>
        <v>4.6000000000000005</v>
      </c>
    </row>
    <row r="31" spans="1:6" ht="16.5" customHeight="1" x14ac:dyDescent="0.3">
      <c r="A31" s="27" t="s">
        <v>19</v>
      </c>
      <c r="B31" s="28">
        <f>(STDEV(B24:B29)/B30)</f>
        <v>4.0565450433647085E-3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3" t="s">
        <v>26</v>
      </c>
      <c r="C59" s="28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A11" sqref="A11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7" t="s">
        <v>31</v>
      </c>
      <c r="B11" s="288"/>
      <c r="C11" s="288"/>
      <c r="D11" s="288"/>
      <c r="E11" s="288"/>
      <c r="F11" s="289"/>
      <c r="G11" s="91"/>
    </row>
    <row r="12" spans="1:7" ht="16.5" customHeight="1" x14ac:dyDescent="0.3">
      <c r="A12" s="286" t="s">
        <v>32</v>
      </c>
      <c r="B12" s="286"/>
      <c r="C12" s="286"/>
      <c r="D12" s="286"/>
      <c r="E12" s="286"/>
      <c r="F12" s="286"/>
      <c r="G12" s="90"/>
    </row>
    <row r="14" spans="1:7" ht="16.5" customHeight="1" x14ac:dyDescent="0.3">
      <c r="A14" s="291" t="s">
        <v>33</v>
      </c>
      <c r="B14" s="291"/>
      <c r="C14" s="60" t="s">
        <v>5</v>
      </c>
    </row>
    <row r="15" spans="1:7" ht="16.5" customHeight="1" x14ac:dyDescent="0.3">
      <c r="A15" s="291" t="s">
        <v>34</v>
      </c>
      <c r="B15" s="291"/>
      <c r="C15" s="60" t="s">
        <v>7</v>
      </c>
    </row>
    <row r="16" spans="1:7" ht="16.5" customHeight="1" x14ac:dyDescent="0.3">
      <c r="A16" s="291" t="s">
        <v>35</v>
      </c>
      <c r="B16" s="291"/>
      <c r="C16" s="60" t="s">
        <v>9</v>
      </c>
    </row>
    <row r="17" spans="1:5" ht="16.5" customHeight="1" x14ac:dyDescent="0.3">
      <c r="A17" s="291" t="s">
        <v>36</v>
      </c>
      <c r="B17" s="291"/>
      <c r="C17" s="60" t="s">
        <v>11</v>
      </c>
    </row>
    <row r="18" spans="1:5" ht="16.5" customHeight="1" x14ac:dyDescent="0.3">
      <c r="A18" s="291" t="s">
        <v>37</v>
      </c>
      <c r="B18" s="291"/>
      <c r="C18" s="97" t="s">
        <v>12</v>
      </c>
    </row>
    <row r="19" spans="1:5" ht="16.5" customHeight="1" x14ac:dyDescent="0.3">
      <c r="A19" s="291" t="s">
        <v>38</v>
      </c>
      <c r="B19" s="29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6" t="s">
        <v>1</v>
      </c>
      <c r="B21" s="286"/>
      <c r="C21" s="59" t="s">
        <v>39</v>
      </c>
      <c r="D21" s="66"/>
    </row>
    <row r="22" spans="1:5" ht="15.75" customHeight="1" x14ac:dyDescent="0.3">
      <c r="A22" s="290"/>
      <c r="B22" s="290"/>
      <c r="C22" s="57"/>
      <c r="D22" s="290"/>
      <c r="E22" s="290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1100.08</v>
      </c>
      <c r="D24" s="87">
        <f t="shared" ref="D24:D43" si="0">(C24-$C$46)/$C$46</f>
        <v>6.6511928177916619E-3</v>
      </c>
      <c r="E24" s="53"/>
    </row>
    <row r="25" spans="1:5" ht="15.75" customHeight="1" x14ac:dyDescent="0.3">
      <c r="C25" s="95">
        <v>1084.96</v>
      </c>
      <c r="D25" s="88">
        <f t="shared" si="0"/>
        <v>-7.184679150978702E-3</v>
      </c>
      <c r="E25" s="53"/>
    </row>
    <row r="26" spans="1:5" ht="15.75" customHeight="1" x14ac:dyDescent="0.3">
      <c r="C26" s="95">
        <v>1086.6600000000001</v>
      </c>
      <c r="D26" s="88">
        <f t="shared" si="0"/>
        <v>-5.629058625389388E-3</v>
      </c>
      <c r="E26" s="53"/>
    </row>
    <row r="27" spans="1:5" ht="15.75" customHeight="1" x14ac:dyDescent="0.3">
      <c r="C27" s="95">
        <v>1102.4100000000001</v>
      </c>
      <c r="D27" s="88">
        <f t="shared" si="0"/>
        <v>8.7833080087465105E-3</v>
      </c>
      <c r="E27" s="53"/>
    </row>
    <row r="28" spans="1:5" ht="15.75" customHeight="1" x14ac:dyDescent="0.3">
      <c r="C28" s="95">
        <v>1063.83</v>
      </c>
      <c r="D28" s="88">
        <f t="shared" si="0"/>
        <v>-2.6520127213156042E-2</v>
      </c>
      <c r="E28" s="53"/>
    </row>
    <row r="29" spans="1:5" ht="15.75" customHeight="1" x14ac:dyDescent="0.3">
      <c r="C29" s="95">
        <v>1081.78</v>
      </c>
      <c r="D29" s="88">
        <f t="shared" si="0"/>
        <v>-1.0094604604728103E-2</v>
      </c>
      <c r="E29" s="53"/>
    </row>
    <row r="30" spans="1:5" ht="15.75" customHeight="1" x14ac:dyDescent="0.3">
      <c r="C30" s="95">
        <v>1096.3699999999999</v>
      </c>
      <c r="D30" s="88">
        <f t="shared" si="0"/>
        <v>3.2562797884173942E-3</v>
      </c>
      <c r="E30" s="53"/>
    </row>
    <row r="31" spans="1:5" ht="15.75" customHeight="1" x14ac:dyDescent="0.3">
      <c r="C31" s="95">
        <v>1101.3</v>
      </c>
      <c r="D31" s="88">
        <f t="shared" si="0"/>
        <v>7.7675793126263399E-3</v>
      </c>
      <c r="E31" s="53"/>
    </row>
    <row r="32" spans="1:5" ht="15.75" customHeight="1" x14ac:dyDescent="0.3">
      <c r="C32" s="95">
        <v>1091.8399999999999</v>
      </c>
      <c r="D32" s="88">
        <f t="shared" si="0"/>
        <v>-8.8899137682928696E-4</v>
      </c>
      <c r="E32" s="53"/>
    </row>
    <row r="33" spans="1:7" ht="15.75" customHeight="1" x14ac:dyDescent="0.3">
      <c r="C33" s="95">
        <v>1102.8</v>
      </c>
      <c r="D33" s="88">
        <f t="shared" si="0"/>
        <v>9.1401856587345204E-3</v>
      </c>
      <c r="E33" s="53"/>
    </row>
    <row r="34" spans="1:7" ht="15.75" customHeight="1" x14ac:dyDescent="0.3">
      <c r="C34" s="95">
        <v>1088.1199999999999</v>
      </c>
      <c r="D34" s="88">
        <f t="shared" si="0"/>
        <v>-4.2930551151776006E-3</v>
      </c>
      <c r="E34" s="53"/>
    </row>
    <row r="35" spans="1:7" ht="15.75" customHeight="1" x14ac:dyDescent="0.3">
      <c r="C35" s="95">
        <v>1103.79</v>
      </c>
      <c r="D35" s="88">
        <f t="shared" si="0"/>
        <v>1.0046105847165929E-2</v>
      </c>
      <c r="E35" s="53"/>
    </row>
    <row r="36" spans="1:7" ht="15.75" customHeight="1" x14ac:dyDescent="0.3">
      <c r="C36" s="95">
        <v>1062.27</v>
      </c>
      <c r="D36" s="88">
        <f t="shared" si="0"/>
        <v>-2.7947637813108502E-2</v>
      </c>
      <c r="E36" s="53"/>
    </row>
    <row r="37" spans="1:7" ht="15.75" customHeight="1" x14ac:dyDescent="0.3">
      <c r="C37" s="95">
        <v>1093</v>
      </c>
      <c r="D37" s="88">
        <f t="shared" si="0"/>
        <v>1.7249086416111449E-4</v>
      </c>
      <c r="E37" s="53"/>
    </row>
    <row r="38" spans="1:7" ht="15.75" customHeight="1" x14ac:dyDescent="0.3">
      <c r="C38" s="95">
        <v>1090.55</v>
      </c>
      <c r="D38" s="88">
        <f t="shared" si="0"/>
        <v>-2.0694328344822892E-3</v>
      </c>
      <c r="E38" s="53"/>
    </row>
    <row r="39" spans="1:7" ht="15.75" customHeight="1" x14ac:dyDescent="0.3">
      <c r="C39" s="95">
        <v>1101.78</v>
      </c>
      <c r="D39" s="88">
        <f t="shared" si="0"/>
        <v>8.206813343380975E-3</v>
      </c>
      <c r="E39" s="53"/>
    </row>
    <row r="40" spans="1:7" ht="15.75" customHeight="1" x14ac:dyDescent="0.3">
      <c r="C40" s="95">
        <v>1103.21</v>
      </c>
      <c r="D40" s="88">
        <f t="shared" si="0"/>
        <v>9.5153647266708313E-3</v>
      </c>
      <c r="E40" s="53"/>
    </row>
    <row r="41" spans="1:7" ht="15.75" customHeight="1" x14ac:dyDescent="0.3">
      <c r="C41" s="95">
        <v>1111.8900000000001</v>
      </c>
      <c r="D41" s="88">
        <f t="shared" si="0"/>
        <v>1.7458180116150229E-2</v>
      </c>
      <c r="E41" s="53"/>
    </row>
    <row r="42" spans="1:7" ht="15.75" customHeight="1" x14ac:dyDescent="0.3">
      <c r="C42" s="95">
        <v>1094.45</v>
      </c>
      <c r="D42" s="88">
        <f t="shared" si="0"/>
        <v>1.4993436653990642E-3</v>
      </c>
      <c r="E42" s="53"/>
    </row>
    <row r="43" spans="1:7" ht="16.5" customHeight="1" x14ac:dyDescent="0.3">
      <c r="C43" s="96">
        <v>1095.1400000000001</v>
      </c>
      <c r="D43" s="89">
        <f t="shared" si="0"/>
        <v>2.1307425846088775E-3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21856.229999999996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1092.8114999999998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4">
        <f>C46</f>
        <v>1092.8114999999998</v>
      </c>
      <c r="C49" s="93">
        <f>-IF(C46&lt;=80,10%,IF(C46&lt;250,7.5%,5%))</f>
        <v>-0.05</v>
      </c>
      <c r="D49" s="81">
        <f>IF(C46&lt;=80,C46*0.9,IF(C46&lt;250,C46*0.925,C46*0.95))</f>
        <v>1038.1709249999997</v>
      </c>
    </row>
    <row r="50" spans="1:6" ht="17.25" customHeight="1" x14ac:dyDescent="0.3">
      <c r="B50" s="285"/>
      <c r="C50" s="94">
        <f>IF(C46&lt;=80, 10%, IF(C46&lt;250, 7.5%, 5%))</f>
        <v>0.05</v>
      </c>
      <c r="D50" s="81">
        <f>IF(C46&lt;=80, C46*1.1, IF(C46&lt;250, C46*1.075, C46*1.05))</f>
        <v>1147.4520749999999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09" zoomScale="48" zoomScaleNormal="40" zoomScalePageLayoutView="48" workbookViewId="0">
      <selection activeCell="D123" sqref="D1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2" t="s">
        <v>45</v>
      </c>
      <c r="B1" s="322"/>
      <c r="C1" s="322"/>
      <c r="D1" s="322"/>
      <c r="E1" s="322"/>
      <c r="F1" s="322"/>
      <c r="G1" s="322"/>
      <c r="H1" s="322"/>
      <c r="I1" s="322"/>
    </row>
    <row r="2" spans="1:9" ht="18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</row>
    <row r="3" spans="1:9" ht="18.75" customHeight="1" x14ac:dyDescent="0.25">
      <c r="A3" s="322"/>
      <c r="B3" s="322"/>
      <c r="C3" s="322"/>
      <c r="D3" s="322"/>
      <c r="E3" s="322"/>
      <c r="F3" s="322"/>
      <c r="G3" s="322"/>
      <c r="H3" s="322"/>
      <c r="I3" s="322"/>
    </row>
    <row r="4" spans="1:9" ht="18.75" customHeight="1" x14ac:dyDescent="0.25">
      <c r="A4" s="322"/>
      <c r="B4" s="322"/>
      <c r="C4" s="322"/>
      <c r="D4" s="322"/>
      <c r="E4" s="322"/>
      <c r="F4" s="322"/>
      <c r="G4" s="322"/>
      <c r="H4" s="322"/>
      <c r="I4" s="322"/>
    </row>
    <row r="5" spans="1:9" ht="18.75" customHeight="1" x14ac:dyDescent="0.25">
      <c r="A5" s="322"/>
      <c r="B5" s="322"/>
      <c r="C5" s="322"/>
      <c r="D5" s="322"/>
      <c r="E5" s="322"/>
      <c r="F5" s="322"/>
      <c r="G5" s="322"/>
      <c r="H5" s="322"/>
      <c r="I5" s="322"/>
    </row>
    <row r="6" spans="1:9" ht="18.75" customHeight="1" x14ac:dyDescent="0.25">
      <c r="A6" s="322"/>
      <c r="B6" s="322"/>
      <c r="C6" s="322"/>
      <c r="D6" s="322"/>
      <c r="E6" s="322"/>
      <c r="F6" s="322"/>
      <c r="G6" s="322"/>
      <c r="H6" s="322"/>
      <c r="I6" s="322"/>
    </row>
    <row r="7" spans="1:9" ht="18.75" customHeight="1" x14ac:dyDescent="0.25">
      <c r="A7" s="322"/>
      <c r="B7" s="322"/>
      <c r="C7" s="322"/>
      <c r="D7" s="322"/>
      <c r="E7" s="322"/>
      <c r="F7" s="322"/>
      <c r="G7" s="322"/>
      <c r="H7" s="322"/>
      <c r="I7" s="322"/>
    </row>
    <row r="8" spans="1:9" x14ac:dyDescent="0.25">
      <c r="A8" s="323" t="s">
        <v>46</v>
      </c>
      <c r="B8" s="323"/>
      <c r="C8" s="323"/>
      <c r="D8" s="323"/>
      <c r="E8" s="323"/>
      <c r="F8" s="323"/>
      <c r="G8" s="323"/>
      <c r="H8" s="323"/>
      <c r="I8" s="323"/>
    </row>
    <row r="9" spans="1:9" x14ac:dyDescent="0.25">
      <c r="A9" s="323"/>
      <c r="B9" s="323"/>
      <c r="C9" s="323"/>
      <c r="D9" s="323"/>
      <c r="E9" s="323"/>
      <c r="F9" s="323"/>
      <c r="G9" s="323"/>
      <c r="H9" s="323"/>
      <c r="I9" s="323"/>
    </row>
    <row r="10" spans="1:9" x14ac:dyDescent="0.25">
      <c r="A10" s="323"/>
      <c r="B10" s="323"/>
      <c r="C10" s="323"/>
      <c r="D10" s="323"/>
      <c r="E10" s="323"/>
      <c r="F10" s="323"/>
      <c r="G10" s="323"/>
      <c r="H10" s="323"/>
      <c r="I10" s="323"/>
    </row>
    <row r="11" spans="1:9" x14ac:dyDescent="0.25">
      <c r="A11" s="323"/>
      <c r="B11" s="323"/>
      <c r="C11" s="323"/>
      <c r="D11" s="323"/>
      <c r="E11" s="323"/>
      <c r="F11" s="323"/>
      <c r="G11" s="323"/>
      <c r="H11" s="323"/>
      <c r="I11" s="323"/>
    </row>
    <row r="12" spans="1:9" x14ac:dyDescent="0.25">
      <c r="A12" s="323"/>
      <c r="B12" s="323"/>
      <c r="C12" s="323"/>
      <c r="D12" s="323"/>
      <c r="E12" s="323"/>
      <c r="F12" s="323"/>
      <c r="G12" s="323"/>
      <c r="H12" s="323"/>
      <c r="I12" s="323"/>
    </row>
    <row r="13" spans="1:9" x14ac:dyDescent="0.25">
      <c r="A13" s="323"/>
      <c r="B13" s="323"/>
      <c r="C13" s="323"/>
      <c r="D13" s="323"/>
      <c r="E13" s="323"/>
      <c r="F13" s="323"/>
      <c r="G13" s="323"/>
      <c r="H13" s="323"/>
      <c r="I13" s="323"/>
    </row>
    <row r="14" spans="1:9" x14ac:dyDescent="0.25">
      <c r="A14" s="323"/>
      <c r="B14" s="323"/>
      <c r="C14" s="323"/>
      <c r="D14" s="323"/>
      <c r="E14" s="323"/>
      <c r="F14" s="323"/>
      <c r="G14" s="323"/>
      <c r="H14" s="323"/>
      <c r="I14" s="323"/>
    </row>
    <row r="15" spans="1:9" ht="19.5" customHeight="1" x14ac:dyDescent="0.3">
      <c r="A15" s="98"/>
    </row>
    <row r="16" spans="1:9" ht="19.5" customHeight="1" x14ac:dyDescent="0.3">
      <c r="A16" s="295" t="s">
        <v>31</v>
      </c>
      <c r="B16" s="296"/>
      <c r="C16" s="296"/>
      <c r="D16" s="296"/>
      <c r="E16" s="296"/>
      <c r="F16" s="296"/>
      <c r="G16" s="296"/>
      <c r="H16" s="297"/>
    </row>
    <row r="17" spans="1:14" ht="20.25" customHeight="1" x14ac:dyDescent="0.25">
      <c r="A17" s="298" t="s">
        <v>47</v>
      </c>
      <c r="B17" s="298"/>
      <c r="C17" s="298"/>
      <c r="D17" s="298"/>
      <c r="E17" s="298"/>
      <c r="F17" s="298"/>
      <c r="G17" s="298"/>
      <c r="H17" s="298"/>
    </row>
    <row r="18" spans="1:14" ht="26.25" customHeight="1" x14ac:dyDescent="0.4">
      <c r="A18" s="100" t="s">
        <v>33</v>
      </c>
      <c r="B18" s="294" t="s">
        <v>5</v>
      </c>
      <c r="C18" s="294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299" t="s">
        <v>9</v>
      </c>
      <c r="C20" s="29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299" t="s">
        <v>11</v>
      </c>
      <c r="C21" s="299"/>
      <c r="D21" s="299"/>
      <c r="E21" s="299"/>
      <c r="F21" s="299"/>
      <c r="G21" s="299"/>
      <c r="H21" s="299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42760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4" t="s">
        <v>132</v>
      </c>
      <c r="C26" s="294"/>
    </row>
    <row r="27" spans="1:14" ht="26.25" customHeight="1" x14ac:dyDescent="0.4">
      <c r="A27" s="109" t="s">
        <v>48</v>
      </c>
      <c r="B27" s="300" t="s">
        <v>131</v>
      </c>
      <c r="C27" s="300"/>
    </row>
    <row r="28" spans="1:14" ht="27" customHeight="1" x14ac:dyDescent="0.4">
      <c r="A28" s="109" t="s">
        <v>6</v>
      </c>
      <c r="B28" s="110">
        <v>98.9</v>
      </c>
    </row>
    <row r="29" spans="1:14" s="14" customFormat="1" ht="27" customHeight="1" x14ac:dyDescent="0.4">
      <c r="A29" s="109" t="s">
        <v>49</v>
      </c>
      <c r="B29" s="111">
        <v>0</v>
      </c>
      <c r="C29" s="301" t="s">
        <v>50</v>
      </c>
      <c r="D29" s="302"/>
      <c r="E29" s="302"/>
      <c r="F29" s="302"/>
      <c r="G29" s="303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98.9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4" t="s">
        <v>53</v>
      </c>
      <c r="D31" s="305"/>
      <c r="E31" s="305"/>
      <c r="F31" s="305"/>
      <c r="G31" s="305"/>
      <c r="H31" s="306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4" t="s">
        <v>55</v>
      </c>
      <c r="D32" s="305"/>
      <c r="E32" s="305"/>
      <c r="F32" s="305"/>
      <c r="G32" s="305"/>
      <c r="H32" s="306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07" t="s">
        <v>59</v>
      </c>
      <c r="E36" s="308"/>
      <c r="F36" s="307" t="s">
        <v>60</v>
      </c>
      <c r="G36" s="309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57835378</v>
      </c>
      <c r="E38" s="133">
        <f>IF(ISBLANK(D38),"-",$D$48/$D$45*D38)</f>
        <v>58091367.291866161</v>
      </c>
      <c r="F38" s="132">
        <v>63767817</v>
      </c>
      <c r="G38" s="134">
        <f>IF(ISBLANK(F38),"-",$D$48/$F$45*F38)</f>
        <v>58131087.644024156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57776922</v>
      </c>
      <c r="E39" s="138">
        <f>IF(ISBLANK(D39),"-",$D$48/$D$45*D39)</f>
        <v>58032652.555594996</v>
      </c>
      <c r="F39" s="137">
        <v>64116251</v>
      </c>
      <c r="G39" s="139">
        <f>IF(ISBLANK(F39),"-",$D$48/$F$45*F39)</f>
        <v>58448721.967183724</v>
      </c>
      <c r="I39" s="311">
        <f>ABS((F43/D43*D42)-F42)/D42</f>
        <v>1.5117252714283284E-3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58190061</v>
      </c>
      <c r="E40" s="138">
        <f>IF(ISBLANK(D40),"-",$D$48/$D$45*D40)</f>
        <v>58447620.179591402</v>
      </c>
      <c r="F40" s="137">
        <v>63877798</v>
      </c>
      <c r="G40" s="139">
        <f>IF(ISBLANK(F40),"-",$D$48/$F$45*F40)</f>
        <v>58231346.919799231</v>
      </c>
      <c r="I40" s="311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57934120.333333336</v>
      </c>
      <c r="E42" s="148">
        <f>AVERAGE(E38:E41)</f>
        <v>58190546.675684191</v>
      </c>
      <c r="F42" s="147">
        <f>AVERAGE(F38:F41)</f>
        <v>63920622</v>
      </c>
      <c r="G42" s="149">
        <f>AVERAGE(G38:G41)</f>
        <v>58270385.510335706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12.08</v>
      </c>
      <c r="E43" s="140"/>
      <c r="F43" s="152">
        <v>13.31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12.08</v>
      </c>
      <c r="E44" s="155"/>
      <c r="F44" s="154">
        <f>F43*$B$34</f>
        <v>13.31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11.94712</v>
      </c>
      <c r="E45" s="158"/>
      <c r="F45" s="157">
        <f>F44*$B$30/100</f>
        <v>13.163590000000001</v>
      </c>
      <c r="H45" s="150"/>
    </row>
    <row r="46" spans="1:14" ht="19.5" customHeight="1" x14ac:dyDescent="0.3">
      <c r="A46" s="312" t="s">
        <v>78</v>
      </c>
      <c r="B46" s="313"/>
      <c r="C46" s="153" t="s">
        <v>79</v>
      </c>
      <c r="D46" s="159">
        <f>D45/$B$45</f>
        <v>0.2389424</v>
      </c>
      <c r="E46" s="160"/>
      <c r="F46" s="161">
        <f>F45/$B$45</f>
        <v>0.2632718</v>
      </c>
      <c r="H46" s="150"/>
    </row>
    <row r="47" spans="1:14" ht="27" customHeight="1" x14ac:dyDescent="0.4">
      <c r="A47" s="314"/>
      <c r="B47" s="315"/>
      <c r="C47" s="162" t="s">
        <v>80</v>
      </c>
      <c r="D47" s="163">
        <v>0.24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12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12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58230466.093009949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3.1020896268356825E-3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film-coated tablet contains Efavirenz 600mg.</v>
      </c>
    </row>
    <row r="56" spans="1:12" ht="26.25" customHeight="1" x14ac:dyDescent="0.4">
      <c r="A56" s="177" t="s">
        <v>87</v>
      </c>
      <c r="B56" s="178">
        <v>600</v>
      </c>
      <c r="C56" s="99" t="str">
        <f>B20</f>
        <v>EFAVIRENZ</v>
      </c>
      <c r="H56" s="179"/>
    </row>
    <row r="57" spans="1:12" ht="18.75" x14ac:dyDescent="0.3">
      <c r="A57" s="176" t="s">
        <v>88</v>
      </c>
      <c r="B57" s="247">
        <f>Uniformity!C46</f>
        <v>1092.8114999999998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10</v>
      </c>
      <c r="C60" s="316" t="s">
        <v>94</v>
      </c>
      <c r="D60" s="319">
        <v>1103.68</v>
      </c>
      <c r="E60" s="182">
        <v>1</v>
      </c>
      <c r="F60" s="183">
        <v>57831050</v>
      </c>
      <c r="G60" s="248">
        <f>IF(ISBLANK(F60),"-",(F60/$D$50*$D$47*$B$68)*($B$57/$D$60))</f>
        <v>590.01648439633709</v>
      </c>
      <c r="H60" s="266">
        <f t="shared" ref="H60:H71" si="0">IF(ISBLANK(F60),"-",(G60/$B$56)*100)</f>
        <v>98.336080732722849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317"/>
      <c r="D61" s="320"/>
      <c r="E61" s="184">
        <v>2</v>
      </c>
      <c r="F61" s="137">
        <v>57386061</v>
      </c>
      <c r="G61" s="249">
        <f>IF(ISBLANK(F61),"-",(F61/$D$50*$D$47*$B$68)*($B$57/$D$60))</f>
        <v>585.47652108294335</v>
      </c>
      <c r="H61" s="267">
        <f t="shared" si="0"/>
        <v>97.579420180490558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7"/>
      <c r="D62" s="320"/>
      <c r="E62" s="184">
        <v>3</v>
      </c>
      <c r="F62" s="185">
        <v>57504532</v>
      </c>
      <c r="G62" s="249">
        <f>IF(ISBLANK(F62),"-",(F62/$D$50*$D$47*$B$68)*($B$57/$D$60))</f>
        <v>586.6852116206893</v>
      </c>
      <c r="H62" s="267">
        <f t="shared" si="0"/>
        <v>97.780868603448212</v>
      </c>
      <c r="L62" s="112"/>
    </row>
    <row r="63" spans="1:12" ht="27" customHeight="1" x14ac:dyDescent="0.4">
      <c r="A63" s="124" t="s">
        <v>97</v>
      </c>
      <c r="B63" s="125">
        <v>1</v>
      </c>
      <c r="C63" s="318"/>
      <c r="D63" s="321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6" t="s">
        <v>99</v>
      </c>
      <c r="D64" s="319">
        <v>1105.17</v>
      </c>
      <c r="E64" s="182">
        <v>1</v>
      </c>
      <c r="F64" s="183"/>
      <c r="G64" s="248" t="str">
        <f>IF(ISBLANK(F64),"-",(F64/$D$50*$D$47*$B$68)*($B$57/$D$64))</f>
        <v>-</v>
      </c>
      <c r="H64" s="266" t="str">
        <f t="shared" si="0"/>
        <v>-</v>
      </c>
    </row>
    <row r="65" spans="1:8" ht="26.25" customHeight="1" x14ac:dyDescent="0.4">
      <c r="A65" s="124" t="s">
        <v>100</v>
      </c>
      <c r="B65" s="125">
        <v>1</v>
      </c>
      <c r="C65" s="317"/>
      <c r="D65" s="320"/>
      <c r="E65" s="184">
        <v>2</v>
      </c>
      <c r="F65" s="137"/>
      <c r="G65" s="249" t="str">
        <f>IF(ISBLANK(F65),"-",(F65/$D$50*$D$47*$B$68)*($B$57/$D$64))</f>
        <v>-</v>
      </c>
      <c r="H65" s="267" t="str">
        <f t="shared" si="0"/>
        <v>-</v>
      </c>
    </row>
    <row r="66" spans="1:8" ht="26.25" customHeight="1" x14ac:dyDescent="0.4">
      <c r="A66" s="124" t="s">
        <v>101</v>
      </c>
      <c r="B66" s="125">
        <v>1</v>
      </c>
      <c r="C66" s="317"/>
      <c r="D66" s="320"/>
      <c r="E66" s="184">
        <v>3</v>
      </c>
      <c r="F66" s="137"/>
      <c r="G66" s="249" t="str">
        <f>IF(ISBLANK(F66),"-",(F66/$D$50*$D$47*$B$68)*($B$57/$D$64))</f>
        <v>-</v>
      </c>
      <c r="H66" s="267" t="str">
        <f t="shared" si="0"/>
        <v>-</v>
      </c>
    </row>
    <row r="67" spans="1:8" ht="27" customHeight="1" x14ac:dyDescent="0.4">
      <c r="A67" s="124" t="s">
        <v>102</v>
      </c>
      <c r="B67" s="125">
        <v>1</v>
      </c>
      <c r="C67" s="318"/>
      <c r="D67" s="321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2500</v>
      </c>
      <c r="C68" s="316" t="s">
        <v>104</v>
      </c>
      <c r="D68" s="319">
        <v>1092.8399999999999</v>
      </c>
      <c r="E68" s="182">
        <v>1</v>
      </c>
      <c r="F68" s="183">
        <v>58011942</v>
      </c>
      <c r="G68" s="248">
        <f>IF(ISBLANK(F68),"-",(F68/$D$50*$D$47*$B$68)*($B$57/$D$68))</f>
        <v>597.73276438998528</v>
      </c>
      <c r="H68" s="267">
        <f t="shared" si="0"/>
        <v>99.622127398330889</v>
      </c>
    </row>
    <row r="69" spans="1:8" ht="27" customHeight="1" x14ac:dyDescent="0.4">
      <c r="A69" s="172" t="s">
        <v>105</v>
      </c>
      <c r="B69" s="189">
        <f>(D47*B68)/B56*B57</f>
        <v>1092.8114999999998</v>
      </c>
      <c r="C69" s="317"/>
      <c r="D69" s="320"/>
      <c r="E69" s="184">
        <v>2</v>
      </c>
      <c r="F69" s="137">
        <v>58129432</v>
      </c>
      <c r="G69" s="249">
        <f>IF(ISBLANK(F69),"-",(F69/$D$50*$D$47*$B$68)*($B$57/$D$68))</f>
        <v>598.94333621480337</v>
      </c>
      <c r="H69" s="267">
        <f t="shared" si="0"/>
        <v>99.823889369133894</v>
      </c>
    </row>
    <row r="70" spans="1:8" ht="26.25" customHeight="1" x14ac:dyDescent="0.4">
      <c r="A70" s="329" t="s">
        <v>78</v>
      </c>
      <c r="B70" s="330"/>
      <c r="C70" s="317"/>
      <c r="D70" s="320"/>
      <c r="E70" s="184">
        <v>3</v>
      </c>
      <c r="F70" s="137">
        <v>58782479</v>
      </c>
      <c r="G70" s="249">
        <f>IF(ISBLANK(F70),"-",(F70/$D$50*$D$47*$B$68)*($B$57/$D$68))</f>
        <v>605.67208162702536</v>
      </c>
      <c r="H70" s="267">
        <f t="shared" si="0"/>
        <v>100.94534693783757</v>
      </c>
    </row>
    <row r="71" spans="1:8" ht="27" customHeight="1" x14ac:dyDescent="0.4">
      <c r="A71" s="331"/>
      <c r="B71" s="332"/>
      <c r="C71" s="328"/>
      <c r="D71" s="321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594.08773322196396</v>
      </c>
      <c r="H72" s="269">
        <f>AVERAGE(H60:H71)</f>
        <v>99.014622203660664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1.3393991238474257E-2</v>
      </c>
      <c r="H73" s="253">
        <f>STDEV(H60:H71)/H72</f>
        <v>1.33939912384743E-2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6</v>
      </c>
      <c r="H74" s="196">
        <f>COUNT(H60:H71)</f>
        <v>6</v>
      </c>
    </row>
    <row r="76" spans="1:8" ht="26.25" customHeight="1" x14ac:dyDescent="0.4">
      <c r="A76" s="108" t="s">
        <v>106</v>
      </c>
      <c r="B76" s="197" t="s">
        <v>107</v>
      </c>
      <c r="C76" s="324" t="str">
        <f>B26</f>
        <v>Efavirenz</v>
      </c>
      <c r="D76" s="324"/>
      <c r="E76" s="198" t="s">
        <v>108</v>
      </c>
      <c r="F76" s="198"/>
      <c r="G76" s="199">
        <f>H72</f>
        <v>99.014622203660664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0" t="str">
        <f>B26</f>
        <v>Efavirenz</v>
      </c>
      <c r="C79" s="310"/>
    </row>
    <row r="80" spans="1:8" ht="26.25" customHeight="1" x14ac:dyDescent="0.4">
      <c r="A80" s="109" t="s">
        <v>48</v>
      </c>
      <c r="B80" s="310" t="str">
        <f>B27</f>
        <v>E4-4</v>
      </c>
      <c r="C80" s="310"/>
    </row>
    <row r="81" spans="1:12" ht="27" customHeight="1" x14ac:dyDescent="0.4">
      <c r="A81" s="109" t="s">
        <v>6</v>
      </c>
      <c r="B81" s="201">
        <f>B28</f>
        <v>98.9</v>
      </c>
    </row>
    <row r="82" spans="1:12" s="14" customFormat="1" ht="27" customHeight="1" x14ac:dyDescent="0.4">
      <c r="A82" s="109" t="s">
        <v>49</v>
      </c>
      <c r="B82" s="111">
        <v>0</v>
      </c>
      <c r="C82" s="301" t="s">
        <v>50</v>
      </c>
      <c r="D82" s="302"/>
      <c r="E82" s="302"/>
      <c r="F82" s="302"/>
      <c r="G82" s="303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98.9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4" t="s">
        <v>111</v>
      </c>
      <c r="D84" s="305"/>
      <c r="E84" s="305"/>
      <c r="F84" s="305"/>
      <c r="G84" s="305"/>
      <c r="H84" s="306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4" t="s">
        <v>112</v>
      </c>
      <c r="D85" s="305"/>
      <c r="E85" s="305"/>
      <c r="F85" s="305"/>
      <c r="G85" s="305"/>
      <c r="H85" s="306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2" t="s">
        <v>59</v>
      </c>
      <c r="E89" s="203"/>
      <c r="F89" s="307" t="s">
        <v>60</v>
      </c>
      <c r="G89" s="309"/>
    </row>
    <row r="90" spans="1:12" ht="27" customHeight="1" x14ac:dyDescent="0.4">
      <c r="A90" s="124" t="s">
        <v>61</v>
      </c>
      <c r="B90" s="125">
        <v>5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06">
        <v>1</v>
      </c>
      <c r="D91" s="132">
        <v>0.59499999999999997</v>
      </c>
      <c r="E91" s="133">
        <f>IF(ISBLANK(D91),"-",$D$101/$D$98*D91)</f>
        <v>0.59763357194035049</v>
      </c>
      <c r="F91" s="132">
        <v>0.65400000000000003</v>
      </c>
      <c r="G91" s="134">
        <f>IF(ISBLANK(F91),"-",$D$101/$F$98*F91)</f>
        <v>0.59618994514414381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0.59799999999999998</v>
      </c>
      <c r="E92" s="138">
        <f>IF(ISBLANK(D92),"-",$D$101/$D$98*D92)</f>
        <v>0.60064685045433552</v>
      </c>
      <c r="F92" s="137">
        <v>0.65400000000000003</v>
      </c>
      <c r="G92" s="139">
        <f>IF(ISBLANK(F92),"-",$D$101/$F$98*F92)</f>
        <v>0.59618994514414381</v>
      </c>
      <c r="I92" s="311">
        <f>ABS((F96/D96*D95)-F95)/D95</f>
        <v>5.0650399277002546E-3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0.59499999999999997</v>
      </c>
      <c r="E93" s="138">
        <f>IF(ISBLANK(D93),"-",$D$101/$D$98*D93)</f>
        <v>0.59763357194035049</v>
      </c>
      <c r="F93" s="137">
        <v>0.65300000000000002</v>
      </c>
      <c r="G93" s="139">
        <f>IF(ISBLANK(F93),"-",$D$101/$F$98*F93)</f>
        <v>0.59527833972343414</v>
      </c>
      <c r="I93" s="311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0.59599999999999997</v>
      </c>
      <c r="E95" s="148">
        <f>AVERAGE(E91:E94)</f>
        <v>0.59863799811167884</v>
      </c>
      <c r="F95" s="211">
        <f>AVERAGE(F91:F94)</f>
        <v>0.65366666666666673</v>
      </c>
      <c r="G95" s="212">
        <f>AVERAGE(G91:G94)</f>
        <v>0.59588607667057392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12.08</v>
      </c>
      <c r="E96" s="140"/>
      <c r="F96" s="152">
        <v>13.31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12.08</v>
      </c>
      <c r="E97" s="155"/>
      <c r="F97" s="154">
        <f>F96*$B$87</f>
        <v>13.31</v>
      </c>
    </row>
    <row r="98" spans="1:10" ht="19.5" customHeight="1" x14ac:dyDescent="0.3">
      <c r="A98" s="124" t="s">
        <v>76</v>
      </c>
      <c r="B98" s="217">
        <f>(B97/B96)*(B95/B94)*(B93/B92)*(B91/B90)*B89</f>
        <v>1000</v>
      </c>
      <c r="C98" s="215" t="s">
        <v>115</v>
      </c>
      <c r="D98" s="218">
        <f>D97*$B$83/100</f>
        <v>11.94712</v>
      </c>
      <c r="E98" s="158"/>
      <c r="F98" s="157">
        <f>F97*$B$83/100</f>
        <v>13.163590000000001</v>
      </c>
    </row>
    <row r="99" spans="1:10" ht="19.5" customHeight="1" x14ac:dyDescent="0.3">
      <c r="A99" s="312" t="s">
        <v>78</v>
      </c>
      <c r="B99" s="326"/>
      <c r="C99" s="215" t="s">
        <v>116</v>
      </c>
      <c r="D99" s="219">
        <f>D98/$B$98</f>
        <v>1.194712E-2</v>
      </c>
      <c r="E99" s="158"/>
      <c r="F99" s="161">
        <f>F98/$B$98</f>
        <v>1.3163590000000001E-2</v>
      </c>
      <c r="G99" s="220"/>
      <c r="H99" s="150"/>
    </row>
    <row r="100" spans="1:10" ht="19.5" customHeight="1" x14ac:dyDescent="0.3">
      <c r="A100" s="314"/>
      <c r="B100" s="327"/>
      <c r="C100" s="215" t="s">
        <v>80</v>
      </c>
      <c r="D100" s="221">
        <f>$B$56/$B$116</f>
        <v>1.2E-2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12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12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0.59726203739112638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3.1738479841865656E-3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1000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2</v>
      </c>
      <c r="C108" s="273">
        <v>1</v>
      </c>
      <c r="D108" s="333">
        <v>0.53200000000000003</v>
      </c>
      <c r="E108" s="250">
        <f t="shared" ref="E108:E113" si="1">IF(ISBLANK(D108),"-",D108/$D$103*$D$100*$B$116)</f>
        <v>534.43878903518339</v>
      </c>
      <c r="F108" s="274">
        <f t="shared" ref="F108:F113" si="2">IF(ISBLANK(D108), "-", (E108/$B$56)*100)</f>
        <v>89.073131505863898</v>
      </c>
    </row>
    <row r="109" spans="1:10" ht="26.25" customHeight="1" x14ac:dyDescent="0.4">
      <c r="A109" s="124" t="s">
        <v>95</v>
      </c>
      <c r="B109" s="125">
        <v>100</v>
      </c>
      <c r="C109" s="271">
        <v>2</v>
      </c>
      <c r="D109" s="334">
        <v>0.53</v>
      </c>
      <c r="E109" s="251">
        <f t="shared" si="1"/>
        <v>532.42962065535187</v>
      </c>
      <c r="F109" s="275">
        <f t="shared" si="2"/>
        <v>88.738270109225311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334">
        <v>0.52400000000000002</v>
      </c>
      <c r="E110" s="251">
        <f t="shared" si="1"/>
        <v>526.4021155158573</v>
      </c>
      <c r="F110" s="275">
        <f t="shared" si="2"/>
        <v>87.733685919309551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334">
        <v>0.52700000000000002</v>
      </c>
      <c r="E111" s="251">
        <f t="shared" si="1"/>
        <v>529.41586808560464</v>
      </c>
      <c r="F111" s="275">
        <f t="shared" si="2"/>
        <v>88.235978014267431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334">
        <v>0.52900000000000003</v>
      </c>
      <c r="E112" s="251">
        <f t="shared" si="1"/>
        <v>531.42503646543616</v>
      </c>
      <c r="F112" s="275">
        <f t="shared" si="2"/>
        <v>88.570839410906032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335">
        <v>0.53</v>
      </c>
      <c r="E113" s="252">
        <f t="shared" si="1"/>
        <v>532.42962065535187</v>
      </c>
      <c r="F113" s="276">
        <f t="shared" si="2"/>
        <v>88.738270109225311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77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531.09017506879752</v>
      </c>
      <c r="F115" s="278">
        <f>AVERAGE(F108:F113)</f>
        <v>88.515029178132934</v>
      </c>
    </row>
    <row r="116" spans="1:10" ht="27" customHeight="1" x14ac:dyDescent="0.4">
      <c r="A116" s="124" t="s">
        <v>103</v>
      </c>
      <c r="B116" s="156">
        <f>(B115/B114)*(B113/B112)*(B111/B110)*(B109/B108)*B107</f>
        <v>50000</v>
      </c>
      <c r="C116" s="234"/>
      <c r="D116" s="258" t="s">
        <v>84</v>
      </c>
      <c r="E116" s="256">
        <f>STDEV(E108:E113)/E115</f>
        <v>5.305342740974185E-3</v>
      </c>
      <c r="F116" s="235">
        <f>STDEV(F108:F113)/F115</f>
        <v>5.305342740974198E-3</v>
      </c>
      <c r="I116" s="98"/>
    </row>
    <row r="117" spans="1:10" ht="27" customHeight="1" x14ac:dyDescent="0.4">
      <c r="A117" s="312" t="s">
        <v>78</v>
      </c>
      <c r="B117" s="313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314"/>
      <c r="B118" s="315"/>
      <c r="C118" s="98"/>
      <c r="D118" s="260"/>
      <c r="E118" s="292" t="s">
        <v>123</v>
      </c>
      <c r="F118" s="293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526.4021155158573</v>
      </c>
      <c r="F119" s="279">
        <f>MIN(F108:F113)</f>
        <v>87.733685919309551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534.43878903518339</v>
      </c>
      <c r="F120" s="280">
        <f>MAX(F108:F113)</f>
        <v>89.073131505863898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24" t="str">
        <f>B26</f>
        <v>Efavirenz</v>
      </c>
      <c r="D124" s="324"/>
      <c r="E124" s="198" t="s">
        <v>127</v>
      </c>
      <c r="F124" s="198"/>
      <c r="G124" s="281">
        <f>F115</f>
        <v>88.515029178132934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1">
        <f>MIN(F108:F113)</f>
        <v>87.733685919309551</v>
      </c>
      <c r="E125" s="209" t="s">
        <v>130</v>
      </c>
      <c r="F125" s="281">
        <f>MAX(F108:F113)</f>
        <v>89.073131505863898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25" t="s">
        <v>26</v>
      </c>
      <c r="C127" s="325"/>
      <c r="E127" s="204" t="s">
        <v>27</v>
      </c>
      <c r="F127" s="239"/>
      <c r="G127" s="325" t="s">
        <v>28</v>
      </c>
      <c r="H127" s="325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EFAVIRENZ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2017-01-25T13:05:05Z</cp:lastPrinted>
  <dcterms:created xsi:type="dcterms:W3CDTF">2005-07-05T10:19:27Z</dcterms:created>
  <dcterms:modified xsi:type="dcterms:W3CDTF">2017-01-26T10:00:02Z</dcterms:modified>
</cp:coreProperties>
</file>