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 LAM" sheetId="1" r:id="rId1"/>
    <sheet name="SST ZID" sheetId="6" r:id="rId2"/>
    <sheet name="SST NEV" sheetId="7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Uniformity!$A$1:$F$56</definedName>
  </definedNames>
  <calcPr calcId="145621"/>
</workbook>
</file>

<file path=xl/calcChain.xml><?xml version="1.0" encoding="utf-8"?>
<calcChain xmlns="http://schemas.openxmlformats.org/spreadsheetml/2006/main">
  <c r="B42" i="7" l="1"/>
  <c r="B21" i="7"/>
  <c r="B53" i="7"/>
  <c r="E51" i="7"/>
  <c r="D51" i="7"/>
  <c r="C51" i="7"/>
  <c r="B51" i="7"/>
  <c r="B52" i="7" s="1"/>
  <c r="B32" i="7"/>
  <c r="E30" i="7"/>
  <c r="D30" i="7"/>
  <c r="C30" i="7"/>
  <c r="B30" i="7"/>
  <c r="B31" i="7" s="1"/>
  <c r="B42" i="6"/>
  <c r="B21" i="6"/>
  <c r="B53" i="6"/>
  <c r="E51" i="6"/>
  <c r="D51" i="6"/>
  <c r="C51" i="6"/>
  <c r="B51" i="6"/>
  <c r="B52" i="6" s="1"/>
  <c r="B32" i="6"/>
  <c r="E30" i="6"/>
  <c r="D30" i="6"/>
  <c r="C30" i="6"/>
  <c r="B30" i="6"/>
  <c r="B31" i="6" s="1"/>
  <c r="B42" i="1"/>
  <c r="B21" i="1"/>
  <c r="C124" i="5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124" i="4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D49" i="4" s="1"/>
  <c r="F42" i="4"/>
  <c r="D42" i="4"/>
  <c r="B34" i="4"/>
  <c r="D44" i="4" s="1"/>
  <c r="B30" i="4"/>
  <c r="C124" i="3"/>
  <c r="B116" i="3"/>
  <c r="D100" i="3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50" i="2"/>
  <c r="C49" i="2"/>
  <c r="B49" i="2"/>
  <c r="C46" i="2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5" l="1"/>
  <c r="I92" i="5"/>
  <c r="I39" i="5"/>
  <c r="D49" i="5"/>
  <c r="F44" i="5"/>
  <c r="F45" i="5" s="1"/>
  <c r="D44" i="5"/>
  <c r="D45" i="5" s="1"/>
  <c r="E41" i="5" s="1"/>
  <c r="F98" i="5"/>
  <c r="F99" i="5" s="1"/>
  <c r="I92" i="4"/>
  <c r="D101" i="4"/>
  <c r="D102" i="4" s="1"/>
  <c r="D97" i="4"/>
  <c r="I39" i="4"/>
  <c r="D45" i="4"/>
  <c r="D101" i="3"/>
  <c r="I92" i="3"/>
  <c r="I39" i="3"/>
  <c r="D44" i="3"/>
  <c r="D49" i="3"/>
  <c r="F45" i="3"/>
  <c r="G40" i="3" s="1"/>
  <c r="D102" i="3"/>
  <c r="E38" i="4"/>
  <c r="D46" i="4"/>
  <c r="D98" i="4"/>
  <c r="E92" i="4" s="1"/>
  <c r="F98" i="4"/>
  <c r="B57" i="5"/>
  <c r="B69" i="5" s="1"/>
  <c r="B57" i="3"/>
  <c r="B69" i="3" s="1"/>
  <c r="D49" i="2"/>
  <c r="D40" i="2"/>
  <c r="D36" i="2"/>
  <c r="D32" i="2"/>
  <c r="D28" i="2"/>
  <c r="D24" i="2"/>
  <c r="B57" i="4"/>
  <c r="B69" i="4" s="1"/>
  <c r="D50" i="2"/>
  <c r="D45" i="3"/>
  <c r="F97" i="3"/>
  <c r="F98" i="3" s="1"/>
  <c r="G93" i="3" s="1"/>
  <c r="D97" i="3"/>
  <c r="D98" i="3" s="1"/>
  <c r="D99" i="3" s="1"/>
  <c r="G94" i="5"/>
  <c r="D102" i="5"/>
  <c r="G93" i="5"/>
  <c r="G91" i="5"/>
  <c r="E39" i="4"/>
  <c r="F44" i="4"/>
  <c r="F45" i="4" s="1"/>
  <c r="G38" i="4" s="1"/>
  <c r="E94" i="4"/>
  <c r="D97" i="5"/>
  <c r="D98" i="5" s="1"/>
  <c r="D99" i="5" s="1"/>
  <c r="E41" i="4"/>
  <c r="E40" i="4"/>
  <c r="G92" i="5" l="1"/>
  <c r="G95" i="5" s="1"/>
  <c r="E93" i="5"/>
  <c r="E91" i="5"/>
  <c r="D46" i="5"/>
  <c r="F46" i="5"/>
  <c r="G39" i="5"/>
  <c r="E40" i="5"/>
  <c r="G38" i="5"/>
  <c r="E39" i="5"/>
  <c r="E42" i="5" s="1"/>
  <c r="G41" i="5"/>
  <c r="G40" i="5"/>
  <c r="E38" i="5"/>
  <c r="E91" i="4"/>
  <c r="G39" i="4"/>
  <c r="E93" i="3"/>
  <c r="E94" i="3"/>
  <c r="E91" i="3"/>
  <c r="G38" i="3"/>
  <c r="F46" i="3"/>
  <c r="G39" i="3"/>
  <c r="G41" i="3"/>
  <c r="G94" i="3"/>
  <c r="D46" i="3"/>
  <c r="E40" i="3"/>
  <c r="E38" i="3"/>
  <c r="E39" i="3"/>
  <c r="G91" i="4"/>
  <c r="F99" i="4"/>
  <c r="G93" i="4"/>
  <c r="G41" i="4"/>
  <c r="F46" i="4"/>
  <c r="E41" i="3"/>
  <c r="G94" i="4"/>
  <c r="G40" i="4"/>
  <c r="D52" i="4" s="1"/>
  <c r="E92" i="5"/>
  <c r="E94" i="5"/>
  <c r="F99" i="3"/>
  <c r="G92" i="3"/>
  <c r="G91" i="3"/>
  <c r="E42" i="4"/>
  <c r="G92" i="4"/>
  <c r="D99" i="4"/>
  <c r="E93" i="4"/>
  <c r="E92" i="3"/>
  <c r="D103" i="5" l="1"/>
  <c r="E113" i="5" s="1"/>
  <c r="F113" i="5" s="1"/>
  <c r="D50" i="5"/>
  <c r="G65" i="5" s="1"/>
  <c r="H65" i="5" s="1"/>
  <c r="G42" i="5"/>
  <c r="D52" i="5"/>
  <c r="E95" i="5"/>
  <c r="D105" i="5"/>
  <c r="E95" i="4"/>
  <c r="G95" i="4"/>
  <c r="D50" i="4"/>
  <c r="G69" i="4" s="1"/>
  <c r="H69" i="4" s="1"/>
  <c r="G42" i="4"/>
  <c r="D105" i="4"/>
  <c r="D103" i="4"/>
  <c r="E112" i="4" s="1"/>
  <c r="F112" i="4" s="1"/>
  <c r="G95" i="3"/>
  <c r="D103" i="3"/>
  <c r="D104" i="3" s="1"/>
  <c r="D105" i="3"/>
  <c r="E95" i="3"/>
  <c r="G42" i="3"/>
  <c r="D51" i="5"/>
  <c r="G64" i="5"/>
  <c r="H64" i="5" s="1"/>
  <c r="G62" i="4"/>
  <c r="H62" i="4" s="1"/>
  <c r="D51" i="4"/>
  <c r="E113" i="3"/>
  <c r="F113" i="3" s="1"/>
  <c r="D52" i="3"/>
  <c r="D50" i="3"/>
  <c r="E42" i="3"/>
  <c r="E110" i="5" l="1"/>
  <c r="F110" i="5" s="1"/>
  <c r="D104" i="5"/>
  <c r="E109" i="5"/>
  <c r="F109" i="5" s="1"/>
  <c r="E108" i="5"/>
  <c r="E111" i="5"/>
  <c r="F111" i="5" s="1"/>
  <c r="E112" i="5"/>
  <c r="F112" i="5" s="1"/>
  <c r="G69" i="5"/>
  <c r="H69" i="5" s="1"/>
  <c r="G67" i="5"/>
  <c r="H67" i="5" s="1"/>
  <c r="G70" i="5"/>
  <c r="H70" i="5" s="1"/>
  <c r="G68" i="5"/>
  <c r="H68" i="5" s="1"/>
  <c r="G60" i="5"/>
  <c r="H60" i="5" s="1"/>
  <c r="G61" i="5"/>
  <c r="H61" i="5" s="1"/>
  <c r="G66" i="5"/>
  <c r="H66" i="5" s="1"/>
  <c r="G63" i="5"/>
  <c r="H63" i="5" s="1"/>
  <c r="G62" i="5"/>
  <c r="H62" i="5" s="1"/>
  <c r="G71" i="5"/>
  <c r="H71" i="5" s="1"/>
  <c r="E110" i="4"/>
  <c r="F110" i="4" s="1"/>
  <c r="G61" i="4"/>
  <c r="H61" i="4" s="1"/>
  <c r="G63" i="4"/>
  <c r="H63" i="4" s="1"/>
  <c r="G64" i="4"/>
  <c r="H64" i="4" s="1"/>
  <c r="G67" i="4"/>
  <c r="H67" i="4" s="1"/>
  <c r="G71" i="4"/>
  <c r="H71" i="4" s="1"/>
  <c r="G68" i="4"/>
  <c r="H68" i="4" s="1"/>
  <c r="G70" i="4"/>
  <c r="H70" i="4" s="1"/>
  <c r="G66" i="4"/>
  <c r="H66" i="4" s="1"/>
  <c r="G65" i="4"/>
  <c r="H65" i="4" s="1"/>
  <c r="G60" i="4"/>
  <c r="H60" i="4" s="1"/>
  <c r="E109" i="4"/>
  <c r="F109" i="4" s="1"/>
  <c r="E111" i="4"/>
  <c r="F111" i="4" s="1"/>
  <c r="E113" i="4"/>
  <c r="F113" i="4" s="1"/>
  <c r="D104" i="4"/>
  <c r="E108" i="4"/>
  <c r="E111" i="3"/>
  <c r="F111" i="3" s="1"/>
  <c r="E108" i="3"/>
  <c r="F108" i="3" s="1"/>
  <c r="E110" i="3"/>
  <c r="F110" i="3" s="1"/>
  <c r="E112" i="3"/>
  <c r="F112" i="3" s="1"/>
  <c r="E109" i="3"/>
  <c r="F109" i="3" s="1"/>
  <c r="D51" i="3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G67" i="3"/>
  <c r="H67" i="3" s="1"/>
  <c r="G70" i="3"/>
  <c r="H70" i="3" s="1"/>
  <c r="G65" i="3"/>
  <c r="H65" i="3" s="1"/>
  <c r="G61" i="3"/>
  <c r="H61" i="3" s="1"/>
  <c r="G63" i="3"/>
  <c r="H63" i="3" s="1"/>
  <c r="E119" i="5" l="1"/>
  <c r="E117" i="5"/>
  <c r="F108" i="5"/>
  <c r="F125" i="5" s="1"/>
  <c r="E120" i="5"/>
  <c r="E115" i="5"/>
  <c r="E116" i="5" s="1"/>
  <c r="G72" i="5"/>
  <c r="G73" i="5" s="1"/>
  <c r="G74" i="5"/>
  <c r="E119" i="4"/>
  <c r="F108" i="4"/>
  <c r="F117" i="4" s="1"/>
  <c r="E115" i="4"/>
  <c r="E116" i="4" s="1"/>
  <c r="G72" i="4"/>
  <c r="G73" i="4" s="1"/>
  <c r="G74" i="4"/>
  <c r="E117" i="4"/>
  <c r="E120" i="4"/>
  <c r="E115" i="3"/>
  <c r="E116" i="3" s="1"/>
  <c r="E117" i="3"/>
  <c r="E119" i="3"/>
  <c r="E120" i="3"/>
  <c r="F125" i="3"/>
  <c r="F120" i="3"/>
  <c r="F117" i="3"/>
  <c r="D125" i="3"/>
  <c r="F115" i="3"/>
  <c r="F119" i="3"/>
  <c r="H74" i="4"/>
  <c r="H72" i="4"/>
  <c r="H74" i="5"/>
  <c r="H72" i="5"/>
  <c r="G74" i="3"/>
  <c r="H60" i="3"/>
  <c r="G72" i="3"/>
  <c r="G73" i="3" s="1"/>
  <c r="F117" i="5" l="1"/>
  <c r="D125" i="5"/>
  <c r="F119" i="5"/>
  <c r="F120" i="5"/>
  <c r="F115" i="5"/>
  <c r="G124" i="5" s="1"/>
  <c r="F120" i="4"/>
  <c r="F115" i="4"/>
  <c r="G124" i="4" s="1"/>
  <c r="F125" i="4"/>
  <c r="D125" i="4"/>
  <c r="F119" i="4"/>
  <c r="H74" i="3"/>
  <c r="H72" i="3"/>
  <c r="G76" i="4"/>
  <c r="H73" i="4"/>
  <c r="G124" i="3"/>
  <c r="F116" i="3"/>
  <c r="G76" i="5"/>
  <c r="H73" i="5"/>
  <c r="F116" i="4"/>
  <c r="F116" i="5" l="1"/>
  <c r="G76" i="3"/>
  <c r="H73" i="3"/>
</calcChain>
</file>

<file path=xl/sharedStrings.xml><?xml version="1.0" encoding="utf-8"?>
<sst xmlns="http://schemas.openxmlformats.org/spreadsheetml/2006/main" count="665" uniqueCount="140">
  <si>
    <t>HPLC System Suitability Report</t>
  </si>
  <si>
    <t>Analysis Data</t>
  </si>
  <si>
    <t>Assay</t>
  </si>
  <si>
    <t>Sample(s)</t>
  </si>
  <si>
    <t>Reference Substance:</t>
  </si>
  <si>
    <t>LAMIVUDINE/NEVIRAPINE/ZIDOVUDINE TABLETS  150 MG/200 MG/300 MG</t>
  </si>
  <si>
    <t>% age Purity:</t>
  </si>
  <si>
    <t>NDQB201701320</t>
  </si>
  <si>
    <t>Weight (mg):</t>
  </si>
  <si>
    <t>Lamivudine, Nevirapine and Zidovudine</t>
  </si>
  <si>
    <t>Standard Conc (mg/mL):</t>
  </si>
  <si>
    <t>Each film coated tablets contains: Lamivudine USP 150 mg, Nevirapine USP 200 mg and Zidovudine USP 300 mg.</t>
  </si>
  <si>
    <t>2017-01-11 09:35:17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</si>
  <si>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</si>
  <si>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</si>
  <si>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</si>
  <si>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</si>
  <si>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</si>
  <si>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</si>
  <si>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</si>
  <si>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</si>
  <si>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</si>
  <si>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</si>
  <si>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</si>
  <si>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</si>
  <si>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</si>
  <si>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</si>
  <si>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</si>
  <si>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</si>
  <si>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</si>
  <si>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</si>
  <si>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</si>
  <si>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</si>
  <si>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</si>
  <si>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</si>
  <si>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</si>
  <si>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</si>
  <si>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</si>
  <si>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</si>
  <si>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</si>
  <si>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</si>
  <si>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</si>
  <si>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</si>
  <si>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</si>
  <si>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</si>
  <si>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</si>
  <si>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</si>
  <si>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</si>
  <si>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</si>
  <si>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</si>
  <si>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</si>
  <si>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</si>
  <si>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</si>
  <si>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</si>
  <si>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</si>
  <si>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</si>
  <si>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</si>
  <si>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</si>
  <si>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</si>
  <si>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</si>
  <si>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</si>
  <si>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</si>
  <si>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</si>
  <si>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</si>
  <si>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</si>
  <si>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</si>
  <si>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</si>
  <si>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</si>
  <si>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</si>
  <si>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</si>
  <si>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</si>
  <si>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</si>
  <si>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</si>
  <si>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</si>
  <si>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</si>
  <si>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</si>
  <si>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</si>
  <si>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</si>
  <si>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</si>
  <si>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</si>
  <si>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</si>
  <si>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</si>
  <si>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</si>
  <si>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</si>
  <si>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</si>
  <si>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</si>
  <si>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</si>
  <si>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</si>
  <si>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</si>
  <si>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</si>
  <si>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</si>
  <si>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</si>
  <si>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</si>
  <si>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</si>
  <si>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</si>
  <si>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</si>
  <si>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</si>
  <si>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</si>
  <si>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</si>
  <si>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</si>
  <si>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</si>
  <si>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</si>
  <si>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</si>
  <si>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</si>
  <si>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</si>
  <si>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</si>
  <si>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</si>
  <si>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</si>
  <si>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</si>
  <si>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</si>
  <si>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</si>
  <si>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</si>
  <si>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</si>
  <si>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</si>
  <si>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</si>
  <si>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</si>
  <si>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</si>
  <si>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</si>
  <si>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</si>
  <si>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</si>
  <si>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</si>
  <si>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</si>
  <si>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</si>
  <si>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</si>
  <si>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</si>
  <si>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</si>
  <si>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</si>
  <si>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</si>
  <si>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</si>
  <si>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</si>
  <si>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</si>
  <si>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</si>
  <si>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ZIDOVUDINE</t>
  </si>
  <si>
    <t>NEVIRAPINE</t>
  </si>
  <si>
    <t>L 42 1</t>
  </si>
  <si>
    <t>Lamivudine</t>
  </si>
  <si>
    <t>Nevirapine</t>
  </si>
  <si>
    <t>Z 1 1</t>
  </si>
  <si>
    <t>Zidovudine</t>
  </si>
  <si>
    <t>N 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</si>
</sst>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1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4" workbookViewId="0">
      <selection activeCell="A62" sqref="A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59" t="s">
        <v>0</v>
      </c>
      <c r="B15" s="659"/>
      <c r="C15" s="659"/>
      <c r="D15" s="659"/>
      <c r="E15" s="65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B20/20*4/20</f>
        <v>0.156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60581128</v>
      </c>
      <c r="C24" s="18">
        <v>5596.1</v>
      </c>
      <c r="D24" s="19">
        <v>1.1000000000000001</v>
      </c>
      <c r="E24" s="20">
        <v>2.9</v>
      </c>
    </row>
    <row r="25" spans="1:6" ht="16.5" customHeight="1" x14ac:dyDescent="0.3">
      <c r="A25" s="17">
        <v>2</v>
      </c>
      <c r="B25" s="18">
        <v>60742019</v>
      </c>
      <c r="C25" s="18">
        <v>5596.4</v>
      </c>
      <c r="D25" s="19">
        <v>1.1000000000000001</v>
      </c>
      <c r="E25" s="19">
        <v>2.9</v>
      </c>
    </row>
    <row r="26" spans="1:6" ht="16.5" customHeight="1" x14ac:dyDescent="0.3">
      <c r="A26" s="17">
        <v>3</v>
      </c>
      <c r="B26" s="18">
        <v>60658273</v>
      </c>
      <c r="C26" s="18">
        <v>5600.9</v>
      </c>
      <c r="D26" s="19">
        <v>1.1000000000000001</v>
      </c>
      <c r="E26" s="19">
        <v>2.9</v>
      </c>
    </row>
    <row r="27" spans="1:6" ht="16.5" customHeight="1" x14ac:dyDescent="0.3">
      <c r="A27" s="17">
        <v>4</v>
      </c>
      <c r="B27" s="18">
        <v>60797804</v>
      </c>
      <c r="C27" s="18">
        <v>5615.2</v>
      </c>
      <c r="D27" s="19">
        <v>1.1000000000000001</v>
      </c>
      <c r="E27" s="19">
        <v>2.9</v>
      </c>
    </row>
    <row r="28" spans="1:6" ht="16.5" customHeight="1" x14ac:dyDescent="0.3">
      <c r="A28" s="17">
        <v>5</v>
      </c>
      <c r="B28" s="18">
        <v>60926503</v>
      </c>
      <c r="C28" s="18">
        <v>5628.3</v>
      </c>
      <c r="D28" s="19">
        <v>1.1000000000000001</v>
      </c>
      <c r="E28" s="19">
        <v>2.9</v>
      </c>
    </row>
    <row r="29" spans="1:6" ht="16.5" customHeight="1" x14ac:dyDescent="0.3">
      <c r="A29" s="17">
        <v>6</v>
      </c>
      <c r="B29" s="21">
        <v>60380693</v>
      </c>
      <c r="C29" s="21">
        <v>5642.7</v>
      </c>
      <c r="D29" s="22">
        <v>1.1000000000000001</v>
      </c>
      <c r="E29" s="22">
        <v>2.9</v>
      </c>
    </row>
    <row r="30" spans="1:6" ht="16.5" customHeight="1" x14ac:dyDescent="0.3">
      <c r="A30" s="23" t="s">
        <v>18</v>
      </c>
      <c r="B30" s="24">
        <f>AVERAGE(B24:B29)</f>
        <v>60681070</v>
      </c>
      <c r="C30" s="25">
        <f>AVERAGE(C24:C29)</f>
        <v>5613.2666666666664</v>
      </c>
      <c r="D30" s="26">
        <f>AVERAGE(D24:D29)</f>
        <v>1.0999999999999999</v>
      </c>
      <c r="E30" s="26">
        <f>AVERAGE(E24:E29)</f>
        <v>2.9</v>
      </c>
    </row>
    <row r="31" spans="1:6" ht="16.5" customHeight="1" x14ac:dyDescent="0.3">
      <c r="A31" s="27" t="s">
        <v>19</v>
      </c>
      <c r="B31" s="28">
        <f>(STDEV(B24:B29)/B30)</f>
        <v>3.1121016559959528E-3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15.6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B41/20*4/20</f>
        <v>0.156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60581128</v>
      </c>
      <c r="C45" s="18">
        <v>5596.1</v>
      </c>
      <c r="D45" s="19">
        <v>1.1000000000000001</v>
      </c>
      <c r="E45" s="20">
        <v>2.9</v>
      </c>
    </row>
    <row r="46" spans="1:6" ht="16.5" customHeight="1" x14ac:dyDescent="0.3">
      <c r="A46" s="17">
        <v>2</v>
      </c>
      <c r="B46" s="18">
        <v>60742019</v>
      </c>
      <c r="C46" s="18">
        <v>5596.4</v>
      </c>
      <c r="D46" s="19">
        <v>1.1000000000000001</v>
      </c>
      <c r="E46" s="19">
        <v>2.9</v>
      </c>
    </row>
    <row r="47" spans="1:6" ht="16.5" customHeight="1" x14ac:dyDescent="0.3">
      <c r="A47" s="17">
        <v>3</v>
      </c>
      <c r="B47" s="18">
        <v>60658273</v>
      </c>
      <c r="C47" s="18">
        <v>5600.9</v>
      </c>
      <c r="D47" s="19">
        <v>1.1000000000000001</v>
      </c>
      <c r="E47" s="19">
        <v>2.9</v>
      </c>
    </row>
    <row r="48" spans="1:6" ht="16.5" customHeight="1" x14ac:dyDescent="0.3">
      <c r="A48" s="17">
        <v>4</v>
      </c>
      <c r="B48" s="18">
        <v>60797804</v>
      </c>
      <c r="C48" s="18">
        <v>5615.2</v>
      </c>
      <c r="D48" s="19">
        <v>1.1000000000000001</v>
      </c>
      <c r="E48" s="19">
        <v>2.9</v>
      </c>
    </row>
    <row r="49" spans="1:7" ht="16.5" customHeight="1" x14ac:dyDescent="0.3">
      <c r="A49" s="17">
        <v>5</v>
      </c>
      <c r="B49" s="18">
        <v>60926503</v>
      </c>
      <c r="C49" s="18">
        <v>5628.3</v>
      </c>
      <c r="D49" s="19">
        <v>1.1000000000000001</v>
      </c>
      <c r="E49" s="19">
        <v>2.9</v>
      </c>
    </row>
    <row r="50" spans="1:7" ht="16.5" customHeight="1" x14ac:dyDescent="0.3">
      <c r="A50" s="17">
        <v>6</v>
      </c>
      <c r="B50" s="21">
        <v>60380693</v>
      </c>
      <c r="C50" s="21">
        <v>5642.7</v>
      </c>
      <c r="D50" s="22">
        <v>1.1000000000000001</v>
      </c>
      <c r="E50" s="22">
        <v>2.9</v>
      </c>
    </row>
    <row r="51" spans="1:7" ht="16.5" customHeight="1" x14ac:dyDescent="0.3">
      <c r="A51" s="23" t="s">
        <v>18</v>
      </c>
      <c r="B51" s="24">
        <f>AVERAGE(B45:B50)</f>
        <v>60681070</v>
      </c>
      <c r="C51" s="25">
        <f>AVERAGE(C45:C50)</f>
        <v>5613.2666666666664</v>
      </c>
      <c r="D51" s="26">
        <f>AVERAGE(D45:D50)</f>
        <v>1.0999999999999999</v>
      </c>
      <c r="E51" s="26">
        <f>AVERAGE(E45:E50)</f>
        <v>2.9</v>
      </c>
    </row>
    <row r="52" spans="1:7" ht="16.5" customHeight="1" x14ac:dyDescent="0.3">
      <c r="A52" s="27" t="s">
        <v>19</v>
      </c>
      <c r="B52" s="28">
        <f>(STDEV(B45:B50)/B51)</f>
        <v>3.1121016559959528E-3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660" t="s">
        <v>26</v>
      </c>
      <c r="C59" s="66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B43" sqref="B43"/>
    </sheetView>
  </sheetViews>
  <sheetFormatPr defaultRowHeight="13.5" x14ac:dyDescent="0.25"/>
  <cols>
    <col min="1" max="1" width="27.5703125" style="594" customWidth="1"/>
    <col min="2" max="2" width="20.42578125" style="594" customWidth="1"/>
    <col min="3" max="3" width="31.85546875" style="594" customWidth="1"/>
    <col min="4" max="4" width="25.85546875" style="594" customWidth="1"/>
    <col min="5" max="5" width="25.7109375" style="594" customWidth="1"/>
    <col min="6" max="6" width="23.140625" style="594" customWidth="1"/>
    <col min="7" max="7" width="28.42578125" style="594" customWidth="1"/>
    <col min="8" max="8" width="21.5703125" style="594" customWidth="1"/>
    <col min="9" max="9" width="9.140625" style="59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9" t="s">
        <v>0</v>
      </c>
      <c r="B15" s="659"/>
      <c r="C15" s="659"/>
      <c r="D15" s="659"/>
      <c r="E15" s="659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594" t="s">
        <v>132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</v>
      </c>
      <c r="C19" s="72"/>
      <c r="D19" s="72"/>
      <c r="E19" s="72"/>
    </row>
    <row r="20" spans="1:5" ht="16.5" customHeight="1" x14ac:dyDescent="0.3">
      <c r="A20" s="8" t="s">
        <v>8</v>
      </c>
      <c r="B20" s="12">
        <v>28.79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B20/20*4/20</f>
        <v>0.28789999999999999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101639704</v>
      </c>
      <c r="C24" s="18">
        <v>6301.1</v>
      </c>
      <c r="D24" s="19">
        <v>1</v>
      </c>
      <c r="E24" s="20">
        <v>3.6</v>
      </c>
    </row>
    <row r="25" spans="1:5" ht="16.5" customHeight="1" x14ac:dyDescent="0.3">
      <c r="A25" s="17">
        <v>2</v>
      </c>
      <c r="B25" s="18">
        <v>102008005</v>
      </c>
      <c r="C25" s="18">
        <v>6283.4</v>
      </c>
      <c r="D25" s="19">
        <v>1.1000000000000001</v>
      </c>
      <c r="E25" s="19">
        <v>3.6</v>
      </c>
    </row>
    <row r="26" spans="1:5" ht="16.5" customHeight="1" x14ac:dyDescent="0.3">
      <c r="A26" s="17">
        <v>3</v>
      </c>
      <c r="B26" s="18">
        <v>101832667</v>
      </c>
      <c r="C26" s="18">
        <v>6263.9</v>
      </c>
      <c r="D26" s="19">
        <v>1.1000000000000001</v>
      </c>
      <c r="E26" s="19">
        <v>3.6</v>
      </c>
    </row>
    <row r="27" spans="1:5" ht="16.5" customHeight="1" x14ac:dyDescent="0.3">
      <c r="A27" s="17">
        <v>4</v>
      </c>
      <c r="B27" s="18">
        <v>102136592</v>
      </c>
      <c r="C27" s="18">
        <v>6299</v>
      </c>
      <c r="D27" s="19">
        <v>1.1000000000000001</v>
      </c>
      <c r="E27" s="19">
        <v>3.6</v>
      </c>
    </row>
    <row r="28" spans="1:5" ht="16.5" customHeight="1" x14ac:dyDescent="0.3">
      <c r="A28" s="17">
        <v>5</v>
      </c>
      <c r="B28" s="18">
        <v>102373545</v>
      </c>
      <c r="C28" s="18">
        <v>6305.4</v>
      </c>
      <c r="D28" s="19">
        <v>1.1000000000000001</v>
      </c>
      <c r="E28" s="19">
        <v>3.6</v>
      </c>
    </row>
    <row r="29" spans="1:5" ht="16.5" customHeight="1" x14ac:dyDescent="0.3">
      <c r="A29" s="17">
        <v>6</v>
      </c>
      <c r="B29" s="21">
        <v>101463419</v>
      </c>
      <c r="C29" s="21">
        <v>6310.9</v>
      </c>
      <c r="D29" s="22">
        <v>1.1000000000000001</v>
      </c>
      <c r="E29" s="22">
        <v>3.6</v>
      </c>
    </row>
    <row r="30" spans="1:5" ht="16.5" customHeight="1" x14ac:dyDescent="0.3">
      <c r="A30" s="23" t="s">
        <v>18</v>
      </c>
      <c r="B30" s="24">
        <f>AVERAGE(B24:B29)</f>
        <v>101908988.66666667</v>
      </c>
      <c r="C30" s="25">
        <f>AVERAGE(C24:C29)</f>
        <v>6293.9500000000007</v>
      </c>
      <c r="D30" s="26">
        <f>AVERAGE(D24:D29)</f>
        <v>1.0833333333333333</v>
      </c>
      <c r="E30" s="26">
        <f>AVERAGE(E24:E29)</f>
        <v>3.6</v>
      </c>
    </row>
    <row r="31" spans="1:5" ht="16.5" customHeight="1" x14ac:dyDescent="0.3">
      <c r="A31" s="27" t="s">
        <v>19</v>
      </c>
      <c r="B31" s="28">
        <f>(STDEV(B24:B29)/B30)</f>
        <v>3.2671695751762962E-3</v>
      </c>
      <c r="C31" s="29"/>
      <c r="D31" s="29"/>
      <c r="E31" s="30"/>
    </row>
    <row r="32" spans="1:5" s="594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4" customFormat="1" ht="15.75" customHeight="1" x14ac:dyDescent="0.25">
      <c r="A33" s="72"/>
      <c r="B33" s="72"/>
      <c r="C33" s="72"/>
      <c r="D33" s="72"/>
      <c r="E33" s="72"/>
    </row>
    <row r="34" spans="1:5" s="594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132</v>
      </c>
      <c r="C39" s="72"/>
      <c r="D39" s="72"/>
      <c r="E39" s="72"/>
    </row>
    <row r="40" spans="1:5" ht="16.5" customHeight="1" x14ac:dyDescent="0.3">
      <c r="A40" s="75" t="s">
        <v>6</v>
      </c>
      <c r="B40" s="12">
        <v>99</v>
      </c>
      <c r="C40" s="72"/>
      <c r="D40" s="72"/>
      <c r="E40" s="72"/>
    </row>
    <row r="41" spans="1:5" ht="16.5" customHeight="1" x14ac:dyDescent="0.3">
      <c r="A41" s="8" t="s">
        <v>8</v>
      </c>
      <c r="B41" s="12">
        <v>28.79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B41/20*4/20</f>
        <v>0.28789999999999999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101639704</v>
      </c>
      <c r="C45" s="18">
        <v>6301.1</v>
      </c>
      <c r="D45" s="19">
        <v>1</v>
      </c>
      <c r="E45" s="20">
        <v>3.6</v>
      </c>
    </row>
    <row r="46" spans="1:5" ht="16.5" customHeight="1" x14ac:dyDescent="0.3">
      <c r="A46" s="17">
        <v>2</v>
      </c>
      <c r="B46" s="18">
        <v>102008005</v>
      </c>
      <c r="C46" s="18">
        <v>6283.4</v>
      </c>
      <c r="D46" s="19">
        <v>1.1000000000000001</v>
      </c>
      <c r="E46" s="19">
        <v>3.6</v>
      </c>
    </row>
    <row r="47" spans="1:5" ht="16.5" customHeight="1" x14ac:dyDescent="0.3">
      <c r="A47" s="17">
        <v>3</v>
      </c>
      <c r="B47" s="18">
        <v>101832667</v>
      </c>
      <c r="C47" s="18">
        <v>6263.9</v>
      </c>
      <c r="D47" s="19">
        <v>1.1000000000000001</v>
      </c>
      <c r="E47" s="19">
        <v>3.6</v>
      </c>
    </row>
    <row r="48" spans="1:5" ht="16.5" customHeight="1" x14ac:dyDescent="0.3">
      <c r="A48" s="17">
        <v>4</v>
      </c>
      <c r="B48" s="18">
        <v>102136592</v>
      </c>
      <c r="C48" s="18">
        <v>6299</v>
      </c>
      <c r="D48" s="19">
        <v>1.1000000000000001</v>
      </c>
      <c r="E48" s="19">
        <v>3.6</v>
      </c>
    </row>
    <row r="49" spans="1:7" ht="16.5" customHeight="1" x14ac:dyDescent="0.3">
      <c r="A49" s="17">
        <v>5</v>
      </c>
      <c r="B49" s="18">
        <v>102373545</v>
      </c>
      <c r="C49" s="18">
        <v>6305.4</v>
      </c>
      <c r="D49" s="19">
        <v>1.1000000000000001</v>
      </c>
      <c r="E49" s="19">
        <v>3.6</v>
      </c>
    </row>
    <row r="50" spans="1:7" ht="16.5" customHeight="1" x14ac:dyDescent="0.3">
      <c r="A50" s="17">
        <v>6</v>
      </c>
      <c r="B50" s="21">
        <v>101463419</v>
      </c>
      <c r="C50" s="21">
        <v>6310.9</v>
      </c>
      <c r="D50" s="22">
        <v>1.1000000000000001</v>
      </c>
      <c r="E50" s="22">
        <v>3.6</v>
      </c>
    </row>
    <row r="51" spans="1:7" ht="16.5" customHeight="1" x14ac:dyDescent="0.3">
      <c r="A51" s="23" t="s">
        <v>18</v>
      </c>
      <c r="B51" s="24">
        <f>AVERAGE(B45:B50)</f>
        <v>101908988.66666667</v>
      </c>
      <c r="C51" s="25">
        <f>AVERAGE(C45:C50)</f>
        <v>6293.9500000000007</v>
      </c>
      <c r="D51" s="26">
        <f>AVERAGE(D45:D50)</f>
        <v>1.0833333333333333</v>
      </c>
      <c r="E51" s="26">
        <f>AVERAGE(E45:E50)</f>
        <v>3.6</v>
      </c>
    </row>
    <row r="52" spans="1:7" ht="16.5" customHeight="1" x14ac:dyDescent="0.3">
      <c r="A52" s="27" t="s">
        <v>19</v>
      </c>
      <c r="B52" s="28">
        <f>(STDEV(B45:B50)/B51)</f>
        <v>3.2671695751762962E-3</v>
      </c>
      <c r="C52" s="29"/>
      <c r="D52" s="29"/>
      <c r="E52" s="30"/>
    </row>
    <row r="53" spans="1:7" s="594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4" customFormat="1" ht="15.75" customHeight="1" x14ac:dyDescent="0.25">
      <c r="A54" s="72"/>
      <c r="B54" s="72"/>
      <c r="C54" s="72"/>
      <c r="D54" s="72"/>
      <c r="E54" s="72"/>
    </row>
    <row r="55" spans="1:7" s="594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4"/>
      <c r="D58" s="43"/>
      <c r="F58" s="44"/>
      <c r="G58" s="44"/>
    </row>
    <row r="59" spans="1:7" ht="15" customHeight="1" x14ac:dyDescent="0.3">
      <c r="B59" s="660" t="s">
        <v>26</v>
      </c>
      <c r="C59" s="66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B43" sqref="B43"/>
    </sheetView>
  </sheetViews>
  <sheetFormatPr defaultRowHeight="13.5" x14ac:dyDescent="0.25"/>
  <cols>
    <col min="1" max="1" width="27.5703125" style="594" customWidth="1"/>
    <col min="2" max="2" width="20.42578125" style="594" customWidth="1"/>
    <col min="3" max="3" width="31.85546875" style="594" customWidth="1"/>
    <col min="4" max="4" width="25.85546875" style="594" customWidth="1"/>
    <col min="5" max="5" width="25.7109375" style="594" customWidth="1"/>
    <col min="6" max="6" width="23.140625" style="594" customWidth="1"/>
    <col min="7" max="7" width="28.42578125" style="594" customWidth="1"/>
    <col min="8" max="8" width="21.5703125" style="594" customWidth="1"/>
    <col min="9" max="9" width="9.140625" style="59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59" t="s">
        <v>0</v>
      </c>
      <c r="B15" s="659"/>
      <c r="C15" s="659"/>
      <c r="D15" s="659"/>
      <c r="E15" s="659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594" t="s">
        <v>133</v>
      </c>
      <c r="C18" s="72"/>
      <c r="D18" s="72"/>
      <c r="E18" s="72"/>
    </row>
    <row r="19" spans="1:5" ht="16.5" customHeight="1" x14ac:dyDescent="0.3">
      <c r="A19" s="75" t="s">
        <v>6</v>
      </c>
      <c r="B19" s="12">
        <v>101.38</v>
      </c>
      <c r="C19" s="72"/>
      <c r="D19" s="72"/>
      <c r="E19" s="72"/>
    </row>
    <row r="20" spans="1:5" ht="16.5" customHeight="1" x14ac:dyDescent="0.3">
      <c r="A20" s="8" t="s">
        <v>8</v>
      </c>
      <c r="B20" s="12">
        <v>20.46</v>
      </c>
      <c r="C20" s="72"/>
      <c r="D20" s="72"/>
      <c r="E20" s="72"/>
    </row>
    <row r="21" spans="1:5" ht="16.5" customHeight="1" x14ac:dyDescent="0.3">
      <c r="A21" s="8" t="s">
        <v>10</v>
      </c>
      <c r="B21" s="13">
        <f>B20/20*4/20</f>
        <v>0.20460000000000003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53931180</v>
      </c>
      <c r="C24" s="18">
        <v>6741.7</v>
      </c>
      <c r="D24" s="19">
        <v>1</v>
      </c>
      <c r="E24" s="20">
        <v>4.9000000000000004</v>
      </c>
    </row>
    <row r="25" spans="1:5" ht="16.5" customHeight="1" x14ac:dyDescent="0.3">
      <c r="A25" s="17">
        <v>2</v>
      </c>
      <c r="B25" s="18">
        <v>54040401</v>
      </c>
      <c r="C25" s="18">
        <v>6719.6</v>
      </c>
      <c r="D25" s="19">
        <v>1</v>
      </c>
      <c r="E25" s="19">
        <v>4.9000000000000004</v>
      </c>
    </row>
    <row r="26" spans="1:5" ht="16.5" customHeight="1" x14ac:dyDescent="0.3">
      <c r="A26" s="17">
        <v>3</v>
      </c>
      <c r="B26" s="18">
        <v>53970596</v>
      </c>
      <c r="C26" s="18">
        <v>6708.3</v>
      </c>
      <c r="D26" s="19">
        <v>1</v>
      </c>
      <c r="E26" s="19">
        <v>4.9000000000000004</v>
      </c>
    </row>
    <row r="27" spans="1:5" ht="16.5" customHeight="1" x14ac:dyDescent="0.3">
      <c r="A27" s="17">
        <v>4</v>
      </c>
      <c r="B27" s="18">
        <v>54139901</v>
      </c>
      <c r="C27" s="18">
        <v>6736.1</v>
      </c>
      <c r="D27" s="19">
        <v>1</v>
      </c>
      <c r="E27" s="19">
        <v>5</v>
      </c>
    </row>
    <row r="28" spans="1:5" ht="16.5" customHeight="1" x14ac:dyDescent="0.3">
      <c r="A28" s="17">
        <v>5</v>
      </c>
      <c r="B28" s="18">
        <v>54293447</v>
      </c>
      <c r="C28" s="18">
        <v>6745.6</v>
      </c>
      <c r="D28" s="19">
        <v>1</v>
      </c>
      <c r="E28" s="19">
        <v>5</v>
      </c>
    </row>
    <row r="29" spans="1:5" ht="16.5" customHeight="1" x14ac:dyDescent="0.3">
      <c r="A29" s="17">
        <v>6</v>
      </c>
      <c r="B29" s="21">
        <v>53811044</v>
      </c>
      <c r="C29" s="21">
        <v>6760.7</v>
      </c>
      <c r="D29" s="22">
        <v>1</v>
      </c>
      <c r="E29" s="22">
        <v>4.9000000000000004</v>
      </c>
    </row>
    <row r="30" spans="1:5" ht="16.5" customHeight="1" x14ac:dyDescent="0.3">
      <c r="A30" s="23" t="s">
        <v>18</v>
      </c>
      <c r="B30" s="24">
        <f>AVERAGE(B24:B29)</f>
        <v>54031094.833333336</v>
      </c>
      <c r="C30" s="25">
        <f>AVERAGE(C24:C29)</f>
        <v>6735.3333333333321</v>
      </c>
      <c r="D30" s="26">
        <f>AVERAGE(D24:D29)</f>
        <v>1</v>
      </c>
      <c r="E30" s="26">
        <f>AVERAGE(E24:E29)</f>
        <v>4.9333333333333336</v>
      </c>
    </row>
    <row r="31" spans="1:5" ht="16.5" customHeight="1" x14ac:dyDescent="0.3">
      <c r="A31" s="27" t="s">
        <v>19</v>
      </c>
      <c r="B31" s="28">
        <f>(STDEV(B24:B29)/B30)</f>
        <v>3.1279873007110008E-3</v>
      </c>
      <c r="C31" s="29"/>
      <c r="D31" s="29"/>
      <c r="E31" s="30"/>
    </row>
    <row r="32" spans="1:5" s="594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594" customFormat="1" ht="15.75" customHeight="1" x14ac:dyDescent="0.25">
      <c r="A33" s="72"/>
      <c r="B33" s="72"/>
      <c r="C33" s="72"/>
      <c r="D33" s="72"/>
      <c r="E33" s="72"/>
    </row>
    <row r="34" spans="1:5" s="594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133</v>
      </c>
      <c r="C39" s="72"/>
      <c r="D39" s="72"/>
      <c r="E39" s="72"/>
    </row>
    <row r="40" spans="1:5" ht="16.5" customHeight="1" x14ac:dyDescent="0.3">
      <c r="A40" s="75" t="s">
        <v>6</v>
      </c>
      <c r="B40" s="12">
        <v>101.38</v>
      </c>
      <c r="C40" s="72"/>
      <c r="D40" s="72"/>
      <c r="E40" s="72"/>
    </row>
    <row r="41" spans="1:5" ht="16.5" customHeight="1" x14ac:dyDescent="0.3">
      <c r="A41" s="8" t="s">
        <v>8</v>
      </c>
      <c r="B41" s="12">
        <v>20.46</v>
      </c>
      <c r="C41" s="72"/>
      <c r="D41" s="72"/>
      <c r="E41" s="72"/>
    </row>
    <row r="42" spans="1:5" ht="16.5" customHeight="1" x14ac:dyDescent="0.3">
      <c r="A42" s="8" t="s">
        <v>10</v>
      </c>
      <c r="B42" s="13">
        <f>B41/20*4/20</f>
        <v>0.20460000000000003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53931180</v>
      </c>
      <c r="C45" s="18">
        <v>6741.7</v>
      </c>
      <c r="D45" s="19">
        <v>1</v>
      </c>
      <c r="E45" s="20">
        <v>4.9000000000000004</v>
      </c>
    </row>
    <row r="46" spans="1:5" ht="16.5" customHeight="1" x14ac:dyDescent="0.3">
      <c r="A46" s="17">
        <v>2</v>
      </c>
      <c r="B46" s="18">
        <v>54040401</v>
      </c>
      <c r="C46" s="18">
        <v>6719.6</v>
      </c>
      <c r="D46" s="19">
        <v>1</v>
      </c>
      <c r="E46" s="19">
        <v>4.9000000000000004</v>
      </c>
    </row>
    <row r="47" spans="1:5" ht="16.5" customHeight="1" x14ac:dyDescent="0.3">
      <c r="A47" s="17">
        <v>3</v>
      </c>
      <c r="B47" s="18">
        <v>53970596</v>
      </c>
      <c r="C47" s="18">
        <v>6708.3</v>
      </c>
      <c r="D47" s="19">
        <v>1</v>
      </c>
      <c r="E47" s="19">
        <v>4.9000000000000004</v>
      </c>
    </row>
    <row r="48" spans="1:5" ht="16.5" customHeight="1" x14ac:dyDescent="0.3">
      <c r="A48" s="17">
        <v>4</v>
      </c>
      <c r="B48" s="18">
        <v>54139901</v>
      </c>
      <c r="C48" s="18">
        <v>6736.1</v>
      </c>
      <c r="D48" s="19">
        <v>1</v>
      </c>
      <c r="E48" s="19">
        <v>5</v>
      </c>
    </row>
    <row r="49" spans="1:7" ht="16.5" customHeight="1" x14ac:dyDescent="0.3">
      <c r="A49" s="17">
        <v>5</v>
      </c>
      <c r="B49" s="18">
        <v>54293447</v>
      </c>
      <c r="C49" s="18">
        <v>6745.6</v>
      </c>
      <c r="D49" s="19">
        <v>1</v>
      </c>
      <c r="E49" s="19">
        <v>5</v>
      </c>
    </row>
    <row r="50" spans="1:7" ht="16.5" customHeight="1" x14ac:dyDescent="0.3">
      <c r="A50" s="17">
        <v>6</v>
      </c>
      <c r="B50" s="21">
        <v>53811044</v>
      </c>
      <c r="C50" s="21">
        <v>6760.7</v>
      </c>
      <c r="D50" s="22">
        <v>1</v>
      </c>
      <c r="E50" s="22">
        <v>4.9000000000000004</v>
      </c>
    </row>
    <row r="51" spans="1:7" ht="16.5" customHeight="1" x14ac:dyDescent="0.3">
      <c r="A51" s="23" t="s">
        <v>18</v>
      </c>
      <c r="B51" s="24">
        <f>AVERAGE(B45:B50)</f>
        <v>54031094.833333336</v>
      </c>
      <c r="C51" s="25">
        <f>AVERAGE(C45:C50)</f>
        <v>6735.3333333333321</v>
      </c>
      <c r="D51" s="26">
        <f>AVERAGE(D45:D50)</f>
        <v>1</v>
      </c>
      <c r="E51" s="26">
        <f>AVERAGE(E45:E50)</f>
        <v>4.9333333333333336</v>
      </c>
    </row>
    <row r="52" spans="1:7" ht="16.5" customHeight="1" x14ac:dyDescent="0.3">
      <c r="A52" s="27" t="s">
        <v>19</v>
      </c>
      <c r="B52" s="28">
        <f>(STDEV(B45:B50)/B51)</f>
        <v>3.1279873007110008E-3</v>
      </c>
      <c r="C52" s="29"/>
      <c r="D52" s="29"/>
      <c r="E52" s="30"/>
    </row>
    <row r="53" spans="1:7" s="594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594" customFormat="1" ht="15.75" customHeight="1" x14ac:dyDescent="0.25">
      <c r="A54" s="72"/>
      <c r="B54" s="72"/>
      <c r="C54" s="72"/>
      <c r="D54" s="72"/>
      <c r="E54" s="72"/>
    </row>
    <row r="55" spans="1:7" s="594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4"/>
      <c r="D58" s="43"/>
      <c r="F58" s="44"/>
      <c r="G58" s="44"/>
    </row>
    <row r="59" spans="1:7" ht="15" customHeight="1" x14ac:dyDescent="0.3">
      <c r="B59" s="660" t="s">
        <v>26</v>
      </c>
      <c r="C59" s="66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4" t="s">
        <v>31</v>
      </c>
      <c r="B11" s="665"/>
      <c r="C11" s="665"/>
      <c r="D11" s="665"/>
      <c r="E11" s="665"/>
      <c r="F11" s="666"/>
      <c r="G11" s="91"/>
    </row>
    <row r="12" spans="1:7" ht="16.5" customHeight="1" x14ac:dyDescent="0.3">
      <c r="A12" s="663" t="s">
        <v>32</v>
      </c>
      <c r="B12" s="663"/>
      <c r="C12" s="663"/>
      <c r="D12" s="663"/>
      <c r="E12" s="663"/>
      <c r="F12" s="663"/>
      <c r="G12" s="90"/>
    </row>
    <row r="14" spans="1:7" ht="16.5" customHeight="1" x14ac:dyDescent="0.3">
      <c r="A14" s="668" t="s">
        <v>33</v>
      </c>
      <c r="B14" s="668"/>
      <c r="C14" s="60" t="s">
        <v>5</v>
      </c>
    </row>
    <row r="15" spans="1:7" ht="16.5" customHeight="1" x14ac:dyDescent="0.3">
      <c r="A15" s="668" t="s">
        <v>34</v>
      </c>
      <c r="B15" s="668"/>
      <c r="C15" s="60" t="s">
        <v>7</v>
      </c>
    </row>
    <row r="16" spans="1:7" ht="16.5" customHeight="1" x14ac:dyDescent="0.3">
      <c r="A16" s="668" t="s">
        <v>35</v>
      </c>
      <c r="B16" s="668"/>
      <c r="C16" s="60" t="s">
        <v>9</v>
      </c>
    </row>
    <row r="17" spans="1:5" ht="16.5" customHeight="1" x14ac:dyDescent="0.3">
      <c r="A17" s="668" t="s">
        <v>36</v>
      </c>
      <c r="B17" s="668"/>
      <c r="C17" s="60" t="s">
        <v>11</v>
      </c>
    </row>
    <row r="18" spans="1:5" ht="16.5" customHeight="1" x14ac:dyDescent="0.3">
      <c r="A18" s="668" t="s">
        <v>37</v>
      </c>
      <c r="B18" s="668"/>
      <c r="C18" s="97" t="s">
        <v>12</v>
      </c>
    </row>
    <row r="19" spans="1:5" ht="16.5" customHeight="1" x14ac:dyDescent="0.3">
      <c r="A19" s="668" t="s">
        <v>38</v>
      </c>
      <c r="B19" s="66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663" t="s">
        <v>1</v>
      </c>
      <c r="B21" s="663"/>
      <c r="C21" s="59" t="s">
        <v>39</v>
      </c>
      <c r="D21" s="66"/>
    </row>
    <row r="22" spans="1:5" ht="15.75" customHeight="1" x14ac:dyDescent="0.3">
      <c r="A22" s="667"/>
      <c r="B22" s="667"/>
      <c r="C22" s="57"/>
      <c r="D22" s="667"/>
      <c r="E22" s="667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1128.1400000000001</v>
      </c>
      <c r="D24" s="87">
        <f t="shared" ref="D24:D43" si="0">(C24-$C$46)/$C$46</f>
        <v>-9.0957759604670309E-3</v>
      </c>
      <c r="E24" s="53"/>
    </row>
    <row r="25" spans="1:5" ht="15.75" customHeight="1" x14ac:dyDescent="0.3">
      <c r="C25" s="95">
        <v>1150.1400000000001</v>
      </c>
      <c r="D25" s="88">
        <f t="shared" si="0"/>
        <v>1.0227971915567614E-2</v>
      </c>
      <c r="E25" s="53"/>
    </row>
    <row r="26" spans="1:5" ht="15.75" customHeight="1" x14ac:dyDescent="0.3">
      <c r="C26" s="95">
        <v>1143.58</v>
      </c>
      <c r="D26" s="88">
        <f t="shared" si="0"/>
        <v>4.4659816398044038E-3</v>
      </c>
      <c r="E26" s="53"/>
    </row>
    <row r="27" spans="1:5" ht="15.75" customHeight="1" x14ac:dyDescent="0.3">
      <c r="C27" s="95">
        <v>1144.8599999999999</v>
      </c>
      <c r="D27" s="88">
        <f t="shared" si="0"/>
        <v>5.5902724253191231E-3</v>
      </c>
      <c r="E27" s="53"/>
    </row>
    <row r="28" spans="1:5" ht="15.75" customHeight="1" x14ac:dyDescent="0.3">
      <c r="C28" s="95">
        <v>1135.1400000000001</v>
      </c>
      <c r="D28" s="88">
        <f t="shared" si="0"/>
        <v>-2.9473107271832805E-3</v>
      </c>
      <c r="E28" s="53"/>
    </row>
    <row r="29" spans="1:5" ht="15.75" customHeight="1" x14ac:dyDescent="0.3">
      <c r="C29" s="95">
        <v>1140.2</v>
      </c>
      <c r="D29" s="88">
        <f t="shared" si="0"/>
        <v>1.4971512843046395E-3</v>
      </c>
      <c r="E29" s="53"/>
    </row>
    <row r="30" spans="1:5" ht="15.75" customHeight="1" x14ac:dyDescent="0.3">
      <c r="C30" s="95">
        <v>1139.93</v>
      </c>
      <c r="D30" s="88">
        <f t="shared" si="0"/>
        <v>1.2599961967351395E-3</v>
      </c>
      <c r="E30" s="53"/>
    </row>
    <row r="31" spans="1:5" ht="15.75" customHeight="1" x14ac:dyDescent="0.3">
      <c r="C31" s="95">
        <v>1127.43</v>
      </c>
      <c r="D31" s="88">
        <f t="shared" si="0"/>
        <v>-9.7194060055572715E-3</v>
      </c>
      <c r="E31" s="53"/>
    </row>
    <row r="32" spans="1:5" ht="15.75" customHeight="1" x14ac:dyDescent="0.3">
      <c r="C32" s="95">
        <v>1130.49</v>
      </c>
      <c r="D32" s="88">
        <f t="shared" si="0"/>
        <v>-7.0316483464361373E-3</v>
      </c>
      <c r="E32" s="53"/>
    </row>
    <row r="33" spans="1:7" ht="15.75" customHeight="1" x14ac:dyDescent="0.3">
      <c r="C33" s="95">
        <v>1095.18</v>
      </c>
      <c r="D33" s="88">
        <f t="shared" si="0"/>
        <v>-3.8046263687471694E-2</v>
      </c>
      <c r="E33" s="53"/>
    </row>
    <row r="34" spans="1:7" ht="15.75" customHeight="1" x14ac:dyDescent="0.3">
      <c r="C34" s="95">
        <v>1137.23</v>
      </c>
      <c r="D34" s="88">
        <f t="shared" si="0"/>
        <v>-1.1115546789600614E-3</v>
      </c>
      <c r="E34" s="53"/>
    </row>
    <row r="35" spans="1:7" ht="15.75" customHeight="1" x14ac:dyDescent="0.3">
      <c r="C35" s="95">
        <v>1138.6400000000001</v>
      </c>
      <c r="D35" s="88">
        <f t="shared" si="0"/>
        <v>1.2692188945859453E-4</v>
      </c>
      <c r="E35" s="53"/>
    </row>
    <row r="36" spans="1:7" ht="15.75" customHeight="1" x14ac:dyDescent="0.3">
      <c r="C36" s="95">
        <v>1152.43</v>
      </c>
      <c r="D36" s="88">
        <f t="shared" si="0"/>
        <v>1.2239398399027551E-2</v>
      </c>
      <c r="E36" s="53"/>
    </row>
    <row r="37" spans="1:7" ht="15.75" customHeight="1" x14ac:dyDescent="0.3">
      <c r="C37" s="95">
        <v>1134.3599999999999</v>
      </c>
      <c r="D37" s="88">
        <f t="shared" si="0"/>
        <v>-3.6324254246065031E-3</v>
      </c>
      <c r="E37" s="53"/>
    </row>
    <row r="38" spans="1:7" ht="15.75" customHeight="1" x14ac:dyDescent="0.3">
      <c r="C38" s="95">
        <v>1167.1400000000001</v>
      </c>
      <c r="D38" s="88">
        <f t="shared" si="0"/>
        <v>2.5159958910685294E-2</v>
      </c>
      <c r="E38" s="53"/>
    </row>
    <row r="39" spans="1:7" ht="15.75" customHeight="1" x14ac:dyDescent="0.3">
      <c r="C39" s="95">
        <v>1141.96</v>
      </c>
      <c r="D39" s="88">
        <f t="shared" si="0"/>
        <v>3.0430511143874029E-3</v>
      </c>
      <c r="E39" s="53"/>
    </row>
    <row r="40" spans="1:7" ht="15.75" customHeight="1" x14ac:dyDescent="0.3">
      <c r="C40" s="95">
        <v>1142.6500000000001</v>
      </c>
      <c r="D40" s="88">
        <f t="shared" si="0"/>
        <v>3.6491141159539922E-3</v>
      </c>
      <c r="E40" s="53"/>
    </row>
    <row r="41" spans="1:7" ht="15.75" customHeight="1" x14ac:dyDescent="0.3">
      <c r="C41" s="95">
        <v>1135.43</v>
      </c>
      <c r="D41" s="88">
        <f t="shared" si="0"/>
        <v>-2.6925885960901287E-3</v>
      </c>
      <c r="E41" s="53"/>
    </row>
    <row r="42" spans="1:7" ht="15.75" customHeight="1" x14ac:dyDescent="0.3">
      <c r="C42" s="95">
        <v>1144</v>
      </c>
      <c r="D42" s="88">
        <f t="shared" si="0"/>
        <v>4.8348895538014927E-3</v>
      </c>
      <c r="E42" s="53"/>
    </row>
    <row r="43" spans="1:7" ht="16.5" customHeight="1" x14ac:dyDescent="0.3">
      <c r="C43" s="96">
        <v>1140.98</v>
      </c>
      <c r="D43" s="89">
        <f t="shared" si="0"/>
        <v>2.1822659817276619E-3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22769.91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1138.4955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661">
        <f>C46</f>
        <v>1138.4955</v>
      </c>
      <c r="C49" s="93">
        <f>-IF(C46&lt;=80,10%,IF(C46&lt;250,7.5%,5%))</f>
        <v>-0.05</v>
      </c>
      <c r="D49" s="81">
        <f>IF(C46&lt;=80,C46*0.9,IF(C46&lt;250,C46*0.925,C46*0.95))</f>
        <v>1081.570725</v>
      </c>
    </row>
    <row r="50" spans="1:6" ht="17.25" customHeight="1" x14ac:dyDescent="0.3">
      <c r="B50" s="662"/>
      <c r="C50" s="94">
        <f>IF(C46&lt;=80, 10%, IF(C46&lt;250, 7.5%, 5%))</f>
        <v>0.05</v>
      </c>
      <c r="D50" s="81">
        <f>IF(C46&lt;=80, C46*1.1, IF(C46&lt;250, C46*1.075, C46*1.05))</f>
        <v>1195.4202749999999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85" zoomScale="55" zoomScaleNormal="40" zoomScalePageLayoutView="55" workbookViewId="0">
      <selection activeCell="D60" sqref="D60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9" t="s">
        <v>45</v>
      </c>
      <c r="B1" s="669"/>
      <c r="C1" s="669"/>
      <c r="D1" s="669"/>
      <c r="E1" s="669"/>
      <c r="F1" s="669"/>
      <c r="G1" s="669"/>
      <c r="H1" s="669"/>
      <c r="I1" s="669"/>
    </row>
    <row r="2" spans="1:9" ht="18.75" customHeight="1" x14ac:dyDescent="0.25">
      <c r="A2" s="669"/>
      <c r="B2" s="669"/>
      <c r="C2" s="669"/>
      <c r="D2" s="669"/>
      <c r="E2" s="669"/>
      <c r="F2" s="669"/>
      <c r="G2" s="669"/>
      <c r="H2" s="669"/>
      <c r="I2" s="669"/>
    </row>
    <row r="3" spans="1:9" ht="18.75" customHeight="1" x14ac:dyDescent="0.25">
      <c r="A3" s="669"/>
      <c r="B3" s="669"/>
      <c r="C3" s="669"/>
      <c r="D3" s="669"/>
      <c r="E3" s="669"/>
      <c r="F3" s="669"/>
      <c r="G3" s="669"/>
      <c r="H3" s="669"/>
      <c r="I3" s="669"/>
    </row>
    <row r="4" spans="1:9" ht="18.75" customHeight="1" x14ac:dyDescent="0.25">
      <c r="A4" s="669"/>
      <c r="B4" s="669"/>
      <c r="C4" s="669"/>
      <c r="D4" s="669"/>
      <c r="E4" s="669"/>
      <c r="F4" s="669"/>
      <c r="G4" s="669"/>
      <c r="H4" s="669"/>
      <c r="I4" s="669"/>
    </row>
    <row r="5" spans="1:9" ht="18.75" customHeight="1" x14ac:dyDescent="0.25">
      <c r="A5" s="669"/>
      <c r="B5" s="669"/>
      <c r="C5" s="669"/>
      <c r="D5" s="669"/>
      <c r="E5" s="669"/>
      <c r="F5" s="669"/>
      <c r="G5" s="669"/>
      <c r="H5" s="669"/>
      <c r="I5" s="669"/>
    </row>
    <row r="6" spans="1:9" ht="18.75" customHeight="1" x14ac:dyDescent="0.25">
      <c r="A6" s="669"/>
      <c r="B6" s="669"/>
      <c r="C6" s="669"/>
      <c r="D6" s="669"/>
      <c r="E6" s="669"/>
      <c r="F6" s="669"/>
      <c r="G6" s="669"/>
      <c r="H6" s="669"/>
      <c r="I6" s="669"/>
    </row>
    <row r="7" spans="1:9" ht="18.75" customHeight="1" x14ac:dyDescent="0.25">
      <c r="A7" s="669"/>
      <c r="B7" s="669"/>
      <c r="C7" s="669"/>
      <c r="D7" s="669"/>
      <c r="E7" s="669"/>
      <c r="F7" s="669"/>
      <c r="G7" s="669"/>
      <c r="H7" s="669"/>
      <c r="I7" s="669"/>
    </row>
    <row r="8" spans="1:9" x14ac:dyDescent="0.25">
      <c r="A8" s="670" t="s">
        <v>46</v>
      </c>
      <c r="B8" s="670"/>
      <c r="C8" s="670"/>
      <c r="D8" s="670"/>
      <c r="E8" s="670"/>
      <c r="F8" s="670"/>
      <c r="G8" s="670"/>
      <c r="H8" s="670"/>
      <c r="I8" s="670"/>
    </row>
    <row r="9" spans="1:9" x14ac:dyDescent="0.25">
      <c r="A9" s="670"/>
      <c r="B9" s="670"/>
      <c r="C9" s="670"/>
      <c r="D9" s="670"/>
      <c r="E9" s="670"/>
      <c r="F9" s="670"/>
      <c r="G9" s="670"/>
      <c r="H9" s="670"/>
      <c r="I9" s="670"/>
    </row>
    <row r="10" spans="1:9" x14ac:dyDescent="0.25">
      <c r="A10" s="670"/>
      <c r="B10" s="670"/>
      <c r="C10" s="670"/>
      <c r="D10" s="670"/>
      <c r="E10" s="670"/>
      <c r="F10" s="670"/>
      <c r="G10" s="670"/>
      <c r="H10" s="670"/>
      <c r="I10" s="670"/>
    </row>
    <row r="11" spans="1:9" x14ac:dyDescent="0.25">
      <c r="A11" s="670"/>
      <c r="B11" s="670"/>
      <c r="C11" s="670"/>
      <c r="D11" s="670"/>
      <c r="E11" s="670"/>
      <c r="F11" s="670"/>
      <c r="G11" s="670"/>
      <c r="H11" s="670"/>
      <c r="I11" s="670"/>
    </row>
    <row r="12" spans="1:9" x14ac:dyDescent="0.25">
      <c r="A12" s="670"/>
      <c r="B12" s="670"/>
      <c r="C12" s="670"/>
      <c r="D12" s="670"/>
      <c r="E12" s="670"/>
      <c r="F12" s="670"/>
      <c r="G12" s="670"/>
      <c r="H12" s="670"/>
      <c r="I12" s="670"/>
    </row>
    <row r="13" spans="1:9" x14ac:dyDescent="0.25">
      <c r="A13" s="670"/>
      <c r="B13" s="670"/>
      <c r="C13" s="670"/>
      <c r="D13" s="670"/>
      <c r="E13" s="670"/>
      <c r="F13" s="670"/>
      <c r="G13" s="670"/>
      <c r="H13" s="670"/>
      <c r="I13" s="670"/>
    </row>
    <row r="14" spans="1:9" x14ac:dyDescent="0.25">
      <c r="A14" s="670"/>
      <c r="B14" s="670"/>
      <c r="C14" s="670"/>
      <c r="D14" s="670"/>
      <c r="E14" s="670"/>
      <c r="F14" s="670"/>
      <c r="G14" s="670"/>
      <c r="H14" s="670"/>
      <c r="I14" s="670"/>
    </row>
    <row r="15" spans="1:9" ht="19.5" customHeight="1" x14ac:dyDescent="0.3">
      <c r="A15" s="98"/>
    </row>
    <row r="16" spans="1:9" ht="19.5" customHeight="1" x14ac:dyDescent="0.3">
      <c r="A16" s="702" t="s">
        <v>31</v>
      </c>
      <c r="B16" s="703"/>
      <c r="C16" s="703"/>
      <c r="D16" s="703"/>
      <c r="E16" s="703"/>
      <c r="F16" s="703"/>
      <c r="G16" s="703"/>
      <c r="H16" s="704"/>
    </row>
    <row r="17" spans="1:14" ht="20.25" customHeight="1" x14ac:dyDescent="0.25">
      <c r="A17" s="705" t="s">
        <v>47</v>
      </c>
      <c r="B17" s="705"/>
      <c r="C17" s="705"/>
      <c r="D17" s="705"/>
      <c r="E17" s="705"/>
      <c r="F17" s="705"/>
      <c r="G17" s="705"/>
      <c r="H17" s="705"/>
    </row>
    <row r="18" spans="1:14" ht="26.25" customHeight="1" x14ac:dyDescent="0.4">
      <c r="A18" s="100" t="s">
        <v>33</v>
      </c>
      <c r="B18" s="701" t="s">
        <v>5</v>
      </c>
      <c r="C18" s="701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706" t="s">
        <v>135</v>
      </c>
      <c r="C20" s="706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706" t="s">
        <v>11</v>
      </c>
      <c r="C21" s="706"/>
      <c r="D21" s="706"/>
      <c r="E21" s="706"/>
      <c r="F21" s="706"/>
      <c r="G21" s="706"/>
      <c r="H21" s="706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701" t="s">
        <v>131</v>
      </c>
      <c r="C26" s="701"/>
    </row>
    <row r="27" spans="1:14" ht="26.25" customHeight="1" x14ac:dyDescent="0.4">
      <c r="A27" s="109" t="s">
        <v>48</v>
      </c>
      <c r="B27" s="707" t="s">
        <v>134</v>
      </c>
      <c r="C27" s="707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>
        <v>0</v>
      </c>
      <c r="C29" s="677" t="s">
        <v>50</v>
      </c>
      <c r="D29" s="678"/>
      <c r="E29" s="678"/>
      <c r="F29" s="678"/>
      <c r="G29" s="679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680" t="s">
        <v>53</v>
      </c>
      <c r="D31" s="681"/>
      <c r="E31" s="681"/>
      <c r="F31" s="681"/>
      <c r="G31" s="681"/>
      <c r="H31" s="682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680" t="s">
        <v>55</v>
      </c>
      <c r="D32" s="681"/>
      <c r="E32" s="681"/>
      <c r="F32" s="681"/>
      <c r="G32" s="681"/>
      <c r="H32" s="682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683" t="s">
        <v>59</v>
      </c>
      <c r="E36" s="708"/>
      <c r="F36" s="683" t="s">
        <v>60</v>
      </c>
      <c r="G36" s="68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60326915</v>
      </c>
      <c r="E38" s="133">
        <f>IF(ISBLANK(D38),"-",$D$48/$D$45*D38)</f>
        <v>59809839.005187154</v>
      </c>
      <c r="F38" s="132">
        <v>62678158</v>
      </c>
      <c r="G38" s="134">
        <f>IF(ISBLANK(F38),"-",$D$48/$F$45*F38)</f>
        <v>59661588.534891196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60067243</v>
      </c>
      <c r="E39" s="138">
        <f>IF(ISBLANK(D39),"-",$D$48/$D$45*D39)</f>
        <v>59552392.71418827</v>
      </c>
      <c r="F39" s="137">
        <v>62694310</v>
      </c>
      <c r="G39" s="139">
        <f>IF(ISBLANK(F39),"-",$D$48/$F$45*F39)</f>
        <v>59676963.17270387</v>
      </c>
      <c r="I39" s="685">
        <f>ABS((F43/D43*D42)-F42)/D42</f>
        <v>1.5337555208539899E-3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60035239</v>
      </c>
      <c r="E40" s="138">
        <f>IF(ISBLANK(D40),"-",$D$48/$D$45*D40)</f>
        <v>59520663.027902767</v>
      </c>
      <c r="F40" s="137">
        <v>62831719</v>
      </c>
      <c r="G40" s="139">
        <f>IF(ISBLANK(F40),"-",$D$48/$F$45*F40)</f>
        <v>59807758.963144787</v>
      </c>
      <c r="I40" s="68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60143132.333333336</v>
      </c>
      <c r="E42" s="148">
        <f>AVERAGE(E38:E41)</f>
        <v>59627631.582426071</v>
      </c>
      <c r="F42" s="147">
        <f>AVERAGE(F38:F41)</f>
        <v>62734729</v>
      </c>
      <c r="G42" s="149">
        <f>AVERAGE(G38:G41)</f>
        <v>59715436.890246622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15.16</v>
      </c>
      <c r="E43" s="140"/>
      <c r="F43" s="152">
        <v>15.79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15.16</v>
      </c>
      <c r="E44" s="155"/>
      <c r="F44" s="154">
        <f>F43*$B$34</f>
        <v>15.79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15.12968</v>
      </c>
      <c r="E45" s="158"/>
      <c r="F45" s="157">
        <f>F44*$B$30/100</f>
        <v>15.758419999999999</v>
      </c>
      <c r="H45" s="150"/>
    </row>
    <row r="46" spans="1:14" ht="19.5" customHeight="1" x14ac:dyDescent="0.3">
      <c r="A46" s="671" t="s">
        <v>78</v>
      </c>
      <c r="B46" s="672"/>
      <c r="C46" s="153" t="s">
        <v>79</v>
      </c>
      <c r="D46" s="159">
        <f>D45/$B$45</f>
        <v>0.15129680000000001</v>
      </c>
      <c r="E46" s="160"/>
      <c r="F46" s="161">
        <f>F45/$B$45</f>
        <v>0.15758419999999998</v>
      </c>
      <c r="H46" s="150"/>
    </row>
    <row r="47" spans="1:14" ht="27" customHeight="1" x14ac:dyDescent="0.4">
      <c r="A47" s="673"/>
      <c r="B47" s="674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59671534.236336343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2.0493362620473874E-3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tablets contains: Lamivudine USP 150 mg, Nevirapine USP 200 mg and Zidovudine USP 300 mg.</v>
      </c>
    </row>
    <row r="56" spans="1:12" ht="26.25" customHeight="1" x14ac:dyDescent="0.4">
      <c r="A56" s="177" t="s">
        <v>87</v>
      </c>
      <c r="B56" s="178">
        <v>150</v>
      </c>
      <c r="C56" s="99" t="str">
        <f>B20</f>
        <v>Lamivudine</v>
      </c>
      <c r="H56" s="179"/>
    </row>
    <row r="57" spans="1:12" ht="18.75" x14ac:dyDescent="0.3">
      <c r="A57" s="176" t="s">
        <v>88</v>
      </c>
      <c r="B57" s="247">
        <f>Uniformity!C46</f>
        <v>1138.4955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688" t="s">
        <v>94</v>
      </c>
      <c r="D60" s="691">
        <v>1142.7</v>
      </c>
      <c r="E60" s="182">
        <v>1</v>
      </c>
      <c r="F60" s="183"/>
      <c r="G60" s="248" t="str">
        <f>IF(ISBLANK(F60),"-",(F60/$D$50*$D$47*$B$68)*($B$57/$D$60))</f>
        <v>-</v>
      </c>
      <c r="H60" s="266" t="str">
        <f t="shared" ref="H60:H71" si="0">IF(ISBLANK(F60),"-",(G60/$B$56)*100)</f>
        <v>-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689"/>
      <c r="D61" s="692"/>
      <c r="E61" s="184">
        <v>2</v>
      </c>
      <c r="F61" s="137"/>
      <c r="G61" s="249" t="str">
        <f>IF(ISBLANK(F61),"-",(F61/$D$50*$D$47*$B$68)*($B$57/$D$60))</f>
        <v>-</v>
      </c>
      <c r="H61" s="267" t="str">
        <f t="shared" si="0"/>
        <v>-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689"/>
      <c r="D62" s="692"/>
      <c r="E62" s="184">
        <v>3</v>
      </c>
      <c r="F62" s="185"/>
      <c r="G62" s="249" t="str">
        <f>IF(ISBLANK(F62),"-",(F62/$D$50*$D$47*$B$68)*($B$57/$D$60))</f>
        <v>-</v>
      </c>
      <c r="H62" s="267" t="str">
        <f t="shared" si="0"/>
        <v>-</v>
      </c>
      <c r="L62" s="112"/>
    </row>
    <row r="63" spans="1:12" ht="27" customHeight="1" x14ac:dyDescent="0.4">
      <c r="A63" s="124" t="s">
        <v>97</v>
      </c>
      <c r="B63" s="125">
        <v>1</v>
      </c>
      <c r="C63" s="698"/>
      <c r="D63" s="693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688" t="s">
        <v>99</v>
      </c>
      <c r="D64" s="691">
        <v>1144.04</v>
      </c>
      <c r="E64" s="182">
        <v>1</v>
      </c>
      <c r="F64" s="183">
        <v>56208414</v>
      </c>
      <c r="G64" s="248">
        <f>IF(ISBLANK(F64),"-",(F64/$D$50*$D$47*$B$68)*($B$57/$D$64))</f>
        <v>140.60976909433549</v>
      </c>
      <c r="H64" s="266">
        <f t="shared" si="0"/>
        <v>93.739846062890336</v>
      </c>
    </row>
    <row r="65" spans="1:8" ht="26.25" customHeight="1" x14ac:dyDescent="0.4">
      <c r="A65" s="124" t="s">
        <v>100</v>
      </c>
      <c r="B65" s="125">
        <v>1</v>
      </c>
      <c r="C65" s="689"/>
      <c r="D65" s="692"/>
      <c r="E65" s="184">
        <v>2</v>
      </c>
      <c r="F65" s="137">
        <v>56315264</v>
      </c>
      <c r="G65" s="249">
        <f>IF(ISBLANK(F65),"-",(F65/$D$50*$D$47*$B$68)*($B$57/$D$64))</f>
        <v>140.87706277438366</v>
      </c>
      <c r="H65" s="267">
        <f t="shared" si="0"/>
        <v>93.918041849589102</v>
      </c>
    </row>
    <row r="66" spans="1:8" ht="26.25" customHeight="1" x14ac:dyDescent="0.4">
      <c r="A66" s="124" t="s">
        <v>101</v>
      </c>
      <c r="B66" s="125">
        <v>1</v>
      </c>
      <c r="C66" s="689"/>
      <c r="D66" s="692"/>
      <c r="E66" s="184">
        <v>3</v>
      </c>
      <c r="F66" s="137">
        <v>56370546</v>
      </c>
      <c r="G66" s="249">
        <f>IF(ISBLANK(F66),"-",(F66/$D$50*$D$47*$B$68)*($B$57/$D$64))</f>
        <v>141.01535504598326</v>
      </c>
      <c r="H66" s="267">
        <f t="shared" si="0"/>
        <v>94.010236697322171</v>
      </c>
    </row>
    <row r="67" spans="1:8" ht="27" customHeight="1" x14ac:dyDescent="0.4">
      <c r="A67" s="124" t="s">
        <v>102</v>
      </c>
      <c r="B67" s="125">
        <v>1</v>
      </c>
      <c r="C67" s="698"/>
      <c r="D67" s="693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1000</v>
      </c>
      <c r="C68" s="688" t="s">
        <v>104</v>
      </c>
      <c r="D68" s="691">
        <v>1138.77</v>
      </c>
      <c r="E68" s="182">
        <v>1</v>
      </c>
      <c r="F68" s="183">
        <v>55244369</v>
      </c>
      <c r="G68" s="248">
        <f>IF(ISBLANK(F68),"-",(F68/$D$50*$D$47*$B$68)*($B$57/$D$68))</f>
        <v>138.837688044282</v>
      </c>
      <c r="H68" s="267">
        <f t="shared" si="0"/>
        <v>92.558458696188012</v>
      </c>
    </row>
    <row r="69" spans="1:8" ht="27" customHeight="1" x14ac:dyDescent="0.4">
      <c r="A69" s="172" t="s">
        <v>105</v>
      </c>
      <c r="B69" s="189">
        <f>(D47*B68)/B56*B57</f>
        <v>1138.4955</v>
      </c>
      <c r="C69" s="689"/>
      <c r="D69" s="692"/>
      <c r="E69" s="184">
        <v>2</v>
      </c>
      <c r="F69" s="137">
        <v>55580958</v>
      </c>
      <c r="G69" s="249">
        <f>IF(ISBLANK(F69),"-",(F69/$D$50*$D$47*$B$68)*($B$57/$D$68))</f>
        <v>139.68358853019643</v>
      </c>
      <c r="H69" s="267">
        <f t="shared" si="0"/>
        <v>93.122392353464292</v>
      </c>
    </row>
    <row r="70" spans="1:8" ht="26.25" customHeight="1" x14ac:dyDescent="0.4">
      <c r="A70" s="694" t="s">
        <v>78</v>
      </c>
      <c r="B70" s="695"/>
      <c r="C70" s="689"/>
      <c r="D70" s="692"/>
      <c r="E70" s="184">
        <v>3</v>
      </c>
      <c r="F70" s="137">
        <v>55665281</v>
      </c>
      <c r="G70" s="249">
        <f>IF(ISBLANK(F70),"-",(F70/$D$50*$D$47*$B$68)*($B$57/$D$68))</f>
        <v>139.89550533874862</v>
      </c>
      <c r="H70" s="267">
        <f t="shared" si="0"/>
        <v>93.263670225832414</v>
      </c>
    </row>
    <row r="71" spans="1:8" ht="27" customHeight="1" x14ac:dyDescent="0.4">
      <c r="A71" s="696"/>
      <c r="B71" s="697"/>
      <c r="C71" s="690"/>
      <c r="D71" s="693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140.15316147132157</v>
      </c>
      <c r="H72" s="269">
        <f>AVERAGE(H60:H71)</f>
        <v>93.435440980881069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5.9638591375029745E-3</v>
      </c>
      <c r="H73" s="253">
        <f>STDEV(H60:H71)/H72</f>
        <v>5.963859137502938E-3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675" t="str">
        <f>B26</f>
        <v>LAMIVUDINE</v>
      </c>
      <c r="D76" s="675"/>
      <c r="E76" s="198" t="s">
        <v>108</v>
      </c>
      <c r="F76" s="198"/>
      <c r="G76" s="199">
        <f>H72</f>
        <v>93.435440980881069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709" t="str">
        <f>B26</f>
        <v>LAMIVUDINE</v>
      </c>
      <c r="C79" s="709"/>
    </row>
    <row r="80" spans="1:8" ht="26.25" customHeight="1" x14ac:dyDescent="0.4">
      <c r="A80" s="109" t="s">
        <v>48</v>
      </c>
      <c r="B80" s="709" t="str">
        <f>B27</f>
        <v>L 42 1</v>
      </c>
      <c r="C80" s="709"/>
    </row>
    <row r="81" spans="1:12" ht="27" customHeight="1" x14ac:dyDescent="0.4">
      <c r="A81" s="109" t="s">
        <v>6</v>
      </c>
      <c r="B81" s="201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677" t="s">
        <v>50</v>
      </c>
      <c r="D82" s="678"/>
      <c r="E82" s="678"/>
      <c r="F82" s="678"/>
      <c r="G82" s="679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680" t="s">
        <v>111</v>
      </c>
      <c r="D84" s="681"/>
      <c r="E84" s="681"/>
      <c r="F84" s="681"/>
      <c r="G84" s="681"/>
      <c r="H84" s="682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680" t="s">
        <v>112</v>
      </c>
      <c r="D85" s="681"/>
      <c r="E85" s="681"/>
      <c r="F85" s="681"/>
      <c r="G85" s="681"/>
      <c r="H85" s="682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2" t="s">
        <v>59</v>
      </c>
      <c r="E89" s="203"/>
      <c r="F89" s="683" t="s">
        <v>60</v>
      </c>
      <c r="G89" s="684"/>
    </row>
    <row r="90" spans="1:12" ht="27" customHeight="1" x14ac:dyDescent="0.4">
      <c r="A90" s="124" t="s">
        <v>61</v>
      </c>
      <c r="B90" s="125">
        <v>4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06">
        <v>1</v>
      </c>
      <c r="D91" s="132">
        <v>59932645</v>
      </c>
      <c r="E91" s="133">
        <f>IF(ISBLANK(D91),"-",$D$101/$D$98*D91)</f>
        <v>66021053.760996036</v>
      </c>
      <c r="F91" s="132">
        <v>62812424</v>
      </c>
      <c r="G91" s="134">
        <f>IF(ISBLANK(F91),"-",$D$101/$F$98*F91)</f>
        <v>66432658.434876919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59918277</v>
      </c>
      <c r="E92" s="138">
        <f>IF(ISBLANK(D92),"-",$D$101/$D$98*D92)</f>
        <v>66005226.151511461</v>
      </c>
      <c r="F92" s="137">
        <v>62921077</v>
      </c>
      <c r="G92" s="139">
        <f>IF(ISBLANK(F92),"-",$D$101/$F$98*F92)</f>
        <v>66547573.720377199</v>
      </c>
      <c r="I92" s="685">
        <f>ABS((F96/D96*D95)-F95)/D95</f>
        <v>8.5469868099989511E-3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59952312</v>
      </c>
      <c r="E93" s="138">
        <f>IF(ISBLANK(D93),"-",$D$101/$D$98*D93)</f>
        <v>66042718.682748072</v>
      </c>
      <c r="F93" s="137">
        <v>63078543</v>
      </c>
      <c r="G93" s="139">
        <f>IF(ISBLANK(F93),"-",$D$101/$F$98*F93)</f>
        <v>66714115.374510884</v>
      </c>
      <c r="I93" s="685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59934411.333333336</v>
      </c>
      <c r="E95" s="148">
        <f>AVERAGE(E91:E94)</f>
        <v>66022999.531751864</v>
      </c>
      <c r="F95" s="211">
        <f>AVERAGE(F91:F94)</f>
        <v>62937348</v>
      </c>
      <c r="G95" s="212">
        <f>AVERAGE(G91:G94)</f>
        <v>66564782.50992167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15.16</v>
      </c>
      <c r="E96" s="140"/>
      <c r="F96" s="152">
        <v>15.79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15.16</v>
      </c>
      <c r="E97" s="155"/>
      <c r="F97" s="154">
        <f>F96*$B$87</f>
        <v>15.79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15.12968</v>
      </c>
      <c r="E98" s="158"/>
      <c r="F98" s="157">
        <f>F97*$B$83/100</f>
        <v>15.758419999999999</v>
      </c>
    </row>
    <row r="99" spans="1:10" ht="19.5" customHeight="1" x14ac:dyDescent="0.3">
      <c r="A99" s="671" t="s">
        <v>78</v>
      </c>
      <c r="B99" s="686"/>
      <c r="C99" s="215" t="s">
        <v>116</v>
      </c>
      <c r="D99" s="219">
        <f>D98/$B$98</f>
        <v>0.15129680000000001</v>
      </c>
      <c r="E99" s="158"/>
      <c r="F99" s="161">
        <f>F98/$B$98</f>
        <v>0.15758419999999998</v>
      </c>
      <c r="G99" s="220"/>
      <c r="H99" s="150"/>
    </row>
    <row r="100" spans="1:10" ht="19.5" customHeight="1" x14ac:dyDescent="0.3">
      <c r="A100" s="673"/>
      <c r="B100" s="687"/>
      <c r="C100" s="215" t="s">
        <v>80</v>
      </c>
      <c r="D100" s="221">
        <f>$B$56/$B$116</f>
        <v>0.16666666666666666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16.666666666666664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16.666666666666664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66293891.020836763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4.678846797669136E-3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60595821</v>
      </c>
      <c r="E108" s="250">
        <f t="shared" ref="E108:E113" si="1">IF(ISBLANK(D108),"-",D108/$D$103*$D$100*$B$116)</f>
        <v>137.10725091008956</v>
      </c>
      <c r="F108" s="277">
        <f t="shared" ref="F108:F113" si="2">IF(ISBLANK(D108), "-", (E108/$B$56)*100)</f>
        <v>91.404833940059703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60080179</v>
      </c>
      <c r="E109" s="251">
        <f t="shared" si="1"/>
        <v>135.94053254722127</v>
      </c>
      <c r="F109" s="278">
        <f t="shared" si="2"/>
        <v>90.627021698147516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60589417</v>
      </c>
      <c r="E110" s="251">
        <f t="shared" si="1"/>
        <v>137.09276088717479</v>
      </c>
      <c r="F110" s="278">
        <f t="shared" si="2"/>
        <v>91.395173924783194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61221650</v>
      </c>
      <c r="E111" s="251">
        <f t="shared" si="1"/>
        <v>138.52328410039505</v>
      </c>
      <c r="F111" s="278">
        <f t="shared" si="2"/>
        <v>92.348856066930026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61528324</v>
      </c>
      <c r="E112" s="251">
        <f t="shared" si="1"/>
        <v>139.21718061622244</v>
      </c>
      <c r="F112" s="278">
        <f t="shared" si="2"/>
        <v>92.811453744148281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64084399</v>
      </c>
      <c r="E113" s="252">
        <f t="shared" si="1"/>
        <v>145.00068863024882</v>
      </c>
      <c r="F113" s="279">
        <f t="shared" si="2"/>
        <v>96.667125753499221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138.813616281892</v>
      </c>
      <c r="F115" s="281">
        <f>AVERAGE(F108:F113)</f>
        <v>92.542410854594664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2.3377675458274225E-2</v>
      </c>
      <c r="F116" s="235">
        <f>STDEV(F108:F113)/F115</f>
        <v>2.3377675458274259E-2</v>
      </c>
      <c r="I116" s="98"/>
    </row>
    <row r="117" spans="1:10" ht="27" customHeight="1" x14ac:dyDescent="0.4">
      <c r="A117" s="671" t="s">
        <v>78</v>
      </c>
      <c r="B117" s="672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673"/>
      <c r="B118" s="674"/>
      <c r="C118" s="98"/>
      <c r="D118" s="260"/>
      <c r="E118" s="699" t="s">
        <v>123</v>
      </c>
      <c r="F118" s="700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135.94053254722127</v>
      </c>
      <c r="F119" s="282">
        <f>MIN(F108:F113)</f>
        <v>90.627021698147516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145.00068863024882</v>
      </c>
      <c r="F120" s="283">
        <f>MAX(F108:F113)</f>
        <v>96.667125753499221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675" t="str">
        <f>B26</f>
        <v>LAMIVUDINE</v>
      </c>
      <c r="D124" s="675"/>
      <c r="E124" s="198" t="s">
        <v>127</v>
      </c>
      <c r="F124" s="198"/>
      <c r="G124" s="284">
        <f>F115</f>
        <v>92.542410854594664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90.627021698147516</v>
      </c>
      <c r="E125" s="209" t="s">
        <v>130</v>
      </c>
      <c r="F125" s="284">
        <f>MAX(F108:F113)</f>
        <v>96.667125753499221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676" t="s">
        <v>26</v>
      </c>
      <c r="C127" s="676"/>
      <c r="E127" s="204" t="s">
        <v>27</v>
      </c>
      <c r="F127" s="239"/>
      <c r="G127" s="676" t="s">
        <v>28</v>
      </c>
      <c r="H127" s="676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8" zoomScale="55" zoomScaleNormal="40" zoomScalePageLayoutView="55" workbookViewId="0">
      <selection activeCell="G114" sqref="G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9" t="s">
        <v>45</v>
      </c>
      <c r="B1" s="669"/>
      <c r="C1" s="669"/>
      <c r="D1" s="669"/>
      <c r="E1" s="669"/>
      <c r="F1" s="669"/>
      <c r="G1" s="669"/>
      <c r="H1" s="669"/>
      <c r="I1" s="669"/>
    </row>
    <row r="2" spans="1:9" ht="18.75" customHeight="1" x14ac:dyDescent="0.25">
      <c r="A2" s="669"/>
      <c r="B2" s="669"/>
      <c r="C2" s="669"/>
      <c r="D2" s="669"/>
      <c r="E2" s="669"/>
      <c r="F2" s="669"/>
      <c r="G2" s="669"/>
      <c r="H2" s="669"/>
      <c r="I2" s="669"/>
    </row>
    <row r="3" spans="1:9" ht="18.75" customHeight="1" x14ac:dyDescent="0.25">
      <c r="A3" s="669"/>
      <c r="B3" s="669"/>
      <c r="C3" s="669"/>
      <c r="D3" s="669"/>
      <c r="E3" s="669"/>
      <c r="F3" s="669"/>
      <c r="G3" s="669"/>
      <c r="H3" s="669"/>
      <c r="I3" s="669"/>
    </row>
    <row r="4" spans="1:9" ht="18.75" customHeight="1" x14ac:dyDescent="0.25">
      <c r="A4" s="669"/>
      <c r="B4" s="669"/>
      <c r="C4" s="669"/>
      <c r="D4" s="669"/>
      <c r="E4" s="669"/>
      <c r="F4" s="669"/>
      <c r="G4" s="669"/>
      <c r="H4" s="669"/>
      <c r="I4" s="669"/>
    </row>
    <row r="5" spans="1:9" ht="18.75" customHeight="1" x14ac:dyDescent="0.25">
      <c r="A5" s="669"/>
      <c r="B5" s="669"/>
      <c r="C5" s="669"/>
      <c r="D5" s="669"/>
      <c r="E5" s="669"/>
      <c r="F5" s="669"/>
      <c r="G5" s="669"/>
      <c r="H5" s="669"/>
      <c r="I5" s="669"/>
    </row>
    <row r="6" spans="1:9" ht="18.75" customHeight="1" x14ac:dyDescent="0.25">
      <c r="A6" s="669"/>
      <c r="B6" s="669"/>
      <c r="C6" s="669"/>
      <c r="D6" s="669"/>
      <c r="E6" s="669"/>
      <c r="F6" s="669"/>
      <c r="G6" s="669"/>
      <c r="H6" s="669"/>
      <c r="I6" s="669"/>
    </row>
    <row r="7" spans="1:9" ht="18.75" customHeight="1" x14ac:dyDescent="0.25">
      <c r="A7" s="669"/>
      <c r="B7" s="669"/>
      <c r="C7" s="669"/>
      <c r="D7" s="669"/>
      <c r="E7" s="669"/>
      <c r="F7" s="669"/>
      <c r="G7" s="669"/>
      <c r="H7" s="669"/>
      <c r="I7" s="669"/>
    </row>
    <row r="8" spans="1:9" x14ac:dyDescent="0.25">
      <c r="A8" s="670" t="s">
        <v>46</v>
      </c>
      <c r="B8" s="670"/>
      <c r="C8" s="670"/>
      <c r="D8" s="670"/>
      <c r="E8" s="670"/>
      <c r="F8" s="670"/>
      <c r="G8" s="670"/>
      <c r="H8" s="670"/>
      <c r="I8" s="670"/>
    </row>
    <row r="9" spans="1:9" x14ac:dyDescent="0.25">
      <c r="A9" s="670"/>
      <c r="B9" s="670"/>
      <c r="C9" s="670"/>
      <c r="D9" s="670"/>
      <c r="E9" s="670"/>
      <c r="F9" s="670"/>
      <c r="G9" s="670"/>
      <c r="H9" s="670"/>
      <c r="I9" s="670"/>
    </row>
    <row r="10" spans="1:9" x14ac:dyDescent="0.25">
      <c r="A10" s="670"/>
      <c r="B10" s="670"/>
      <c r="C10" s="670"/>
      <c r="D10" s="670"/>
      <c r="E10" s="670"/>
      <c r="F10" s="670"/>
      <c r="G10" s="670"/>
      <c r="H10" s="670"/>
      <c r="I10" s="670"/>
    </row>
    <row r="11" spans="1:9" x14ac:dyDescent="0.25">
      <c r="A11" s="670"/>
      <c r="B11" s="670"/>
      <c r="C11" s="670"/>
      <c r="D11" s="670"/>
      <c r="E11" s="670"/>
      <c r="F11" s="670"/>
      <c r="G11" s="670"/>
      <c r="H11" s="670"/>
      <c r="I11" s="670"/>
    </row>
    <row r="12" spans="1:9" x14ac:dyDescent="0.25">
      <c r="A12" s="670"/>
      <c r="B12" s="670"/>
      <c r="C12" s="670"/>
      <c r="D12" s="670"/>
      <c r="E12" s="670"/>
      <c r="F12" s="670"/>
      <c r="G12" s="670"/>
      <c r="H12" s="670"/>
      <c r="I12" s="670"/>
    </row>
    <row r="13" spans="1:9" x14ac:dyDescent="0.25">
      <c r="A13" s="670"/>
      <c r="B13" s="670"/>
      <c r="C13" s="670"/>
      <c r="D13" s="670"/>
      <c r="E13" s="670"/>
      <c r="F13" s="670"/>
      <c r="G13" s="670"/>
      <c r="H13" s="670"/>
      <c r="I13" s="670"/>
    </row>
    <row r="14" spans="1:9" x14ac:dyDescent="0.25">
      <c r="A14" s="670"/>
      <c r="B14" s="670"/>
      <c r="C14" s="670"/>
      <c r="D14" s="670"/>
      <c r="E14" s="670"/>
      <c r="F14" s="670"/>
      <c r="G14" s="670"/>
      <c r="H14" s="670"/>
      <c r="I14" s="670"/>
    </row>
    <row r="15" spans="1:9" ht="19.5" customHeight="1" x14ac:dyDescent="0.3">
      <c r="A15" s="285"/>
    </row>
    <row r="16" spans="1:9" ht="19.5" customHeight="1" x14ac:dyDescent="0.3">
      <c r="A16" s="702" t="s">
        <v>31</v>
      </c>
      <c r="B16" s="703"/>
      <c r="C16" s="703"/>
      <c r="D16" s="703"/>
      <c r="E16" s="703"/>
      <c r="F16" s="703"/>
      <c r="G16" s="703"/>
      <c r="H16" s="704"/>
    </row>
    <row r="17" spans="1:14" ht="20.25" customHeight="1" x14ac:dyDescent="0.25">
      <c r="A17" s="705" t="s">
        <v>47</v>
      </c>
      <c r="B17" s="705"/>
      <c r="C17" s="705"/>
      <c r="D17" s="705"/>
      <c r="E17" s="705"/>
      <c r="F17" s="705"/>
      <c r="G17" s="705"/>
      <c r="H17" s="705"/>
    </row>
    <row r="18" spans="1:14" ht="26.25" customHeight="1" x14ac:dyDescent="0.4">
      <c r="A18" s="287" t="s">
        <v>33</v>
      </c>
      <c r="B18" s="701" t="s">
        <v>5</v>
      </c>
      <c r="C18" s="701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706" t="s">
        <v>136</v>
      </c>
      <c r="C20" s="706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706" t="s">
        <v>11</v>
      </c>
      <c r="C21" s="706"/>
      <c r="D21" s="706"/>
      <c r="E21" s="706"/>
      <c r="F21" s="706"/>
      <c r="G21" s="706"/>
      <c r="H21" s="706"/>
      <c r="I21" s="291"/>
    </row>
    <row r="22" spans="1:14" ht="26.25" customHeight="1" x14ac:dyDescent="0.4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701" t="s">
        <v>136</v>
      </c>
      <c r="C26" s="701"/>
    </row>
    <row r="27" spans="1:14" ht="26.25" customHeight="1" x14ac:dyDescent="0.4">
      <c r="A27" s="296" t="s">
        <v>48</v>
      </c>
      <c r="B27" s="707" t="s">
        <v>139</v>
      </c>
      <c r="C27" s="707"/>
    </row>
    <row r="28" spans="1:14" ht="27" customHeight="1" x14ac:dyDescent="0.4">
      <c r="A28" s="296" t="s">
        <v>6</v>
      </c>
      <c r="B28" s="297">
        <v>101.38</v>
      </c>
    </row>
    <row r="29" spans="1:14" s="14" customFormat="1" ht="27" customHeight="1" x14ac:dyDescent="0.4">
      <c r="A29" s="296" t="s">
        <v>49</v>
      </c>
      <c r="B29" s="298">
        <v>0</v>
      </c>
      <c r="C29" s="677" t="s">
        <v>50</v>
      </c>
      <c r="D29" s="678"/>
      <c r="E29" s="678"/>
      <c r="F29" s="678"/>
      <c r="G29" s="679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101.38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680" t="s">
        <v>53</v>
      </c>
      <c r="D31" s="681"/>
      <c r="E31" s="681"/>
      <c r="F31" s="681"/>
      <c r="G31" s="681"/>
      <c r="H31" s="682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680" t="s">
        <v>55</v>
      </c>
      <c r="D32" s="681"/>
      <c r="E32" s="681"/>
      <c r="F32" s="681"/>
      <c r="G32" s="681"/>
      <c r="H32" s="682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20</v>
      </c>
      <c r="C36" s="286"/>
      <c r="D36" s="683" t="s">
        <v>59</v>
      </c>
      <c r="E36" s="708"/>
      <c r="F36" s="683" t="s">
        <v>60</v>
      </c>
      <c r="G36" s="684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4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20</v>
      </c>
      <c r="C38" s="318">
        <v>1</v>
      </c>
      <c r="D38" s="319">
        <v>53867535</v>
      </c>
      <c r="E38" s="320">
        <f>IF(ISBLANK(D38),"-",$D$48/$D$45*D38)</f>
        <v>51939669.510896251</v>
      </c>
      <c r="F38" s="319">
        <v>51421130</v>
      </c>
      <c r="G38" s="321">
        <f>IF(ISBLANK(F38),"-",$D$48/$F$45*F38)</f>
        <v>50695829.832174063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53650861</v>
      </c>
      <c r="E39" s="325">
        <f>IF(ISBLANK(D39),"-",$D$48/$D$45*D39)</f>
        <v>51730750.057804443</v>
      </c>
      <c r="F39" s="324">
        <v>51470833</v>
      </c>
      <c r="G39" s="326">
        <f>IF(ISBLANK(F39),"-",$D$48/$F$45*F39)</f>
        <v>50744831.766401269</v>
      </c>
      <c r="I39" s="685">
        <f>ABS((F43/D43*D42)-F42)/D42</f>
        <v>2.0257932055263567E-2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53688250</v>
      </c>
      <c r="E40" s="325">
        <f>IF(ISBLANK(D40),"-",$D$48/$D$45*D40)</f>
        <v>51766800.942689799</v>
      </c>
      <c r="F40" s="324">
        <v>51503369</v>
      </c>
      <c r="G40" s="326">
        <f>IF(ISBLANK(F40),"-",$D$48/$F$45*F40)</f>
        <v>50776908.842875853</v>
      </c>
      <c r="I40" s="685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53735548.666666664</v>
      </c>
      <c r="E42" s="335">
        <f>AVERAGE(E38:E41)</f>
        <v>51812406.837130167</v>
      </c>
      <c r="F42" s="334">
        <f>AVERAGE(F38:F41)</f>
        <v>51465110.666666664</v>
      </c>
      <c r="G42" s="336">
        <f>AVERAGE(G38:G41)</f>
        <v>50739190.147150397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20.46</v>
      </c>
      <c r="E43" s="327"/>
      <c r="F43" s="339">
        <v>20.010000000000002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20.46</v>
      </c>
      <c r="E44" s="342"/>
      <c r="F44" s="341">
        <f>F43*$B$34</f>
        <v>20.010000000000002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100</v>
      </c>
      <c r="C45" s="340" t="s">
        <v>77</v>
      </c>
      <c r="D45" s="344">
        <f>D44*$B$30/100</f>
        <v>20.742348000000003</v>
      </c>
      <c r="E45" s="345"/>
      <c r="F45" s="344">
        <f>F44*$B$30/100</f>
        <v>20.286138000000001</v>
      </c>
      <c r="H45" s="337"/>
    </row>
    <row r="46" spans="1:14" ht="19.5" customHeight="1" x14ac:dyDescent="0.3">
      <c r="A46" s="671" t="s">
        <v>78</v>
      </c>
      <c r="B46" s="672"/>
      <c r="C46" s="340" t="s">
        <v>79</v>
      </c>
      <c r="D46" s="346">
        <f>D45/$B$45</f>
        <v>0.20742348000000002</v>
      </c>
      <c r="E46" s="347"/>
      <c r="F46" s="348">
        <f>F45/$B$45</f>
        <v>0.20286138000000001</v>
      </c>
      <c r="H46" s="337"/>
    </row>
    <row r="47" spans="1:14" ht="27" customHeight="1" x14ac:dyDescent="0.4">
      <c r="A47" s="673"/>
      <c r="B47" s="674"/>
      <c r="C47" s="349" t="s">
        <v>80</v>
      </c>
      <c r="D47" s="350">
        <v>0.2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20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20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51275798.492140286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1.1557423290173509E-2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film coated tablets contains: Lamivudine USP 150 mg, Nevirapine USP 200 mg and Zidovudine USP 300 mg.</v>
      </c>
    </row>
    <row r="56" spans="1:12" ht="26.25" customHeight="1" x14ac:dyDescent="0.4">
      <c r="A56" s="364" t="s">
        <v>87</v>
      </c>
      <c r="B56" s="365">
        <v>200</v>
      </c>
      <c r="C56" s="286" t="str">
        <f>B20</f>
        <v>Nevirapine</v>
      </c>
      <c r="H56" s="366"/>
    </row>
    <row r="57" spans="1:12" ht="18.75" x14ac:dyDescent="0.3">
      <c r="A57" s="363" t="s">
        <v>88</v>
      </c>
      <c r="B57" s="434">
        <f>Uniformity!C46</f>
        <v>1138.4955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5</v>
      </c>
      <c r="C60" s="688" t="s">
        <v>94</v>
      </c>
      <c r="D60" s="691">
        <v>1142.7</v>
      </c>
      <c r="E60" s="369">
        <v>1</v>
      </c>
      <c r="F60" s="370"/>
      <c r="G60" s="435" t="str">
        <f>IF(ISBLANK(F60),"-",(F60/$D$50*$D$47*$B$68)*($B$57/$D$60))</f>
        <v>-</v>
      </c>
      <c r="H60" s="453" t="str">
        <f t="shared" ref="H60:H71" si="0">IF(ISBLANK(F60),"-",(G60/$B$56)*100)</f>
        <v>-</v>
      </c>
      <c r="L60" s="299"/>
    </row>
    <row r="61" spans="1:12" s="14" customFormat="1" ht="26.25" customHeight="1" x14ac:dyDescent="0.4">
      <c r="A61" s="311" t="s">
        <v>95</v>
      </c>
      <c r="B61" s="312">
        <v>50</v>
      </c>
      <c r="C61" s="689"/>
      <c r="D61" s="692"/>
      <c r="E61" s="371">
        <v>2</v>
      </c>
      <c r="F61" s="324"/>
      <c r="G61" s="436" t="str">
        <f>IF(ISBLANK(F61),"-",(F61/$D$50*$D$47*$B$68)*($B$57/$D$60))</f>
        <v>-</v>
      </c>
      <c r="H61" s="454" t="str">
        <f t="shared" si="0"/>
        <v>-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689"/>
      <c r="D62" s="692"/>
      <c r="E62" s="371">
        <v>3</v>
      </c>
      <c r="F62" s="372"/>
      <c r="G62" s="436" t="str">
        <f>IF(ISBLANK(F62),"-",(F62/$D$50*$D$47*$B$68)*($B$57/$D$60))</f>
        <v>-</v>
      </c>
      <c r="H62" s="454" t="str">
        <f t="shared" si="0"/>
        <v>-</v>
      </c>
      <c r="L62" s="299"/>
    </row>
    <row r="63" spans="1:12" ht="27" customHeight="1" x14ac:dyDescent="0.4">
      <c r="A63" s="311" t="s">
        <v>97</v>
      </c>
      <c r="B63" s="312">
        <v>1</v>
      </c>
      <c r="C63" s="698"/>
      <c r="D63" s="693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688" t="s">
        <v>99</v>
      </c>
      <c r="D64" s="691">
        <v>1144.04</v>
      </c>
      <c r="E64" s="369">
        <v>1</v>
      </c>
      <c r="F64" s="370">
        <v>49322662</v>
      </c>
      <c r="G64" s="435">
        <f>IF(ISBLANK(F64),"-",(F64/$D$50*$D$47*$B$68)*($B$57/$D$64))</f>
        <v>191.44947533190967</v>
      </c>
      <c r="H64" s="453">
        <f t="shared" si="0"/>
        <v>95.724737665954834</v>
      </c>
    </row>
    <row r="65" spans="1:8" ht="26.25" customHeight="1" x14ac:dyDescent="0.4">
      <c r="A65" s="311" t="s">
        <v>100</v>
      </c>
      <c r="B65" s="312">
        <v>1</v>
      </c>
      <c r="C65" s="689"/>
      <c r="D65" s="692"/>
      <c r="E65" s="371">
        <v>2</v>
      </c>
      <c r="F65" s="324">
        <v>49370648</v>
      </c>
      <c r="G65" s="436">
        <f>IF(ISBLANK(F65),"-",(F65/$D$50*$D$47*$B$68)*($B$57/$D$64))</f>
        <v>191.63573645713595</v>
      </c>
      <c r="H65" s="454">
        <f t="shared" si="0"/>
        <v>95.817868228567974</v>
      </c>
    </row>
    <row r="66" spans="1:8" ht="26.25" customHeight="1" x14ac:dyDescent="0.4">
      <c r="A66" s="311" t="s">
        <v>101</v>
      </c>
      <c r="B66" s="312">
        <v>1</v>
      </c>
      <c r="C66" s="689"/>
      <c r="D66" s="692"/>
      <c r="E66" s="371">
        <v>3</v>
      </c>
      <c r="F66" s="324">
        <v>49479509</v>
      </c>
      <c r="G66" s="436">
        <f>IF(ISBLANK(F66),"-",(F66/$D$50*$D$47*$B$68)*($B$57/$D$64))</f>
        <v>192.0582882921141</v>
      </c>
      <c r="H66" s="454">
        <f t="shared" si="0"/>
        <v>96.02914414605705</v>
      </c>
    </row>
    <row r="67" spans="1:8" ht="27" customHeight="1" x14ac:dyDescent="0.4">
      <c r="A67" s="311" t="s">
        <v>102</v>
      </c>
      <c r="B67" s="312">
        <v>1</v>
      </c>
      <c r="C67" s="698"/>
      <c r="D67" s="693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1000</v>
      </c>
      <c r="C68" s="688" t="s">
        <v>104</v>
      </c>
      <c r="D68" s="691">
        <v>1138.77</v>
      </c>
      <c r="E68" s="369">
        <v>1</v>
      </c>
      <c r="F68" s="370">
        <v>47988790</v>
      </c>
      <c r="G68" s="435">
        <f>IF(ISBLANK(F68),"-",(F68/$D$50*$D$47*$B$68)*($B$57/$D$68))</f>
        <v>187.13398419706033</v>
      </c>
      <c r="H68" s="454">
        <f t="shared" si="0"/>
        <v>93.566992098530164</v>
      </c>
    </row>
    <row r="69" spans="1:8" ht="27" customHeight="1" x14ac:dyDescent="0.4">
      <c r="A69" s="359" t="s">
        <v>105</v>
      </c>
      <c r="B69" s="376">
        <f>(D47*B68)/B56*B57</f>
        <v>1138.4955</v>
      </c>
      <c r="C69" s="689"/>
      <c r="D69" s="692"/>
      <c r="E69" s="371">
        <v>2</v>
      </c>
      <c r="F69" s="324">
        <v>48108608</v>
      </c>
      <c r="G69" s="436">
        <f>IF(ISBLANK(F69),"-",(F69/$D$50*$D$47*$B$68)*($B$57/$D$68))</f>
        <v>187.60121872659363</v>
      </c>
      <c r="H69" s="454">
        <f t="shared" si="0"/>
        <v>93.800609363296815</v>
      </c>
    </row>
    <row r="70" spans="1:8" ht="26.25" customHeight="1" x14ac:dyDescent="0.4">
      <c r="A70" s="694" t="s">
        <v>78</v>
      </c>
      <c r="B70" s="695"/>
      <c r="C70" s="689"/>
      <c r="D70" s="692"/>
      <c r="E70" s="371">
        <v>3</v>
      </c>
      <c r="F70" s="324">
        <v>48142721</v>
      </c>
      <c r="G70" s="436">
        <f>IF(ISBLANK(F70),"-",(F70/$D$50*$D$47*$B$68)*($B$57/$D$68))</f>
        <v>187.73424357683294</v>
      </c>
      <c r="H70" s="454">
        <f t="shared" si="0"/>
        <v>93.867121788416469</v>
      </c>
    </row>
    <row r="71" spans="1:8" ht="27" customHeight="1" x14ac:dyDescent="0.4">
      <c r="A71" s="696"/>
      <c r="B71" s="697"/>
      <c r="C71" s="690"/>
      <c r="D71" s="693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189.60215776360778</v>
      </c>
      <c r="H72" s="456">
        <f>AVERAGE(H60:H71)</f>
        <v>94.801078881803889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1.2293606779133081E-2</v>
      </c>
      <c r="H73" s="440">
        <f>STDEV(H60:H71)/H72</f>
        <v>1.2293606779133081E-2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6</v>
      </c>
      <c r="H74" s="383">
        <f>COUNT(H60:H71)</f>
        <v>6</v>
      </c>
    </row>
    <row r="76" spans="1:8" ht="26.25" customHeight="1" x14ac:dyDescent="0.4">
      <c r="A76" s="295" t="s">
        <v>106</v>
      </c>
      <c r="B76" s="384" t="s">
        <v>107</v>
      </c>
      <c r="C76" s="675" t="str">
        <f>B26</f>
        <v>Nevirapine</v>
      </c>
      <c r="D76" s="675"/>
      <c r="E76" s="385" t="s">
        <v>108</v>
      </c>
      <c r="F76" s="385"/>
      <c r="G76" s="386">
        <f>H72</f>
        <v>94.801078881803889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709" t="str">
        <f>B26</f>
        <v>Nevirapine</v>
      </c>
      <c r="C79" s="709"/>
    </row>
    <row r="80" spans="1:8" ht="26.25" customHeight="1" x14ac:dyDescent="0.4">
      <c r="A80" s="296" t="s">
        <v>48</v>
      </c>
      <c r="B80" s="709" t="str">
        <f>B27</f>
        <v>N 1 5</v>
      </c>
      <c r="C80" s="709"/>
    </row>
    <row r="81" spans="1:12" ht="27" customHeight="1" x14ac:dyDescent="0.4">
      <c r="A81" s="296" t="s">
        <v>6</v>
      </c>
      <c r="B81" s="388">
        <f>B28</f>
        <v>101.38</v>
      </c>
    </row>
    <row r="82" spans="1:12" s="14" customFormat="1" ht="27" customHeight="1" x14ac:dyDescent="0.4">
      <c r="A82" s="296" t="s">
        <v>49</v>
      </c>
      <c r="B82" s="298">
        <v>0</v>
      </c>
      <c r="C82" s="677" t="s">
        <v>50</v>
      </c>
      <c r="D82" s="678"/>
      <c r="E82" s="678"/>
      <c r="F82" s="678"/>
      <c r="G82" s="679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101.38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680" t="s">
        <v>111</v>
      </c>
      <c r="D84" s="681"/>
      <c r="E84" s="681"/>
      <c r="F84" s="681"/>
      <c r="G84" s="681"/>
      <c r="H84" s="682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680" t="s">
        <v>112</v>
      </c>
      <c r="D85" s="681"/>
      <c r="E85" s="681"/>
      <c r="F85" s="681"/>
      <c r="G85" s="681"/>
      <c r="H85" s="682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20</v>
      </c>
      <c r="D89" s="389" t="s">
        <v>59</v>
      </c>
      <c r="E89" s="390"/>
      <c r="F89" s="683" t="s">
        <v>60</v>
      </c>
      <c r="G89" s="684"/>
    </row>
    <row r="90" spans="1:12" ht="27" customHeight="1" x14ac:dyDescent="0.4">
      <c r="A90" s="311" t="s">
        <v>61</v>
      </c>
      <c r="B90" s="312">
        <v>4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20</v>
      </c>
      <c r="C91" s="393">
        <v>1</v>
      </c>
      <c r="D91" s="319">
        <v>53620100</v>
      </c>
      <c r="E91" s="320">
        <f>IF(ISBLANK(D91),"-",$D$101/$D$98*D91)</f>
        <v>57445655.514880843</v>
      </c>
      <c r="F91" s="319">
        <v>51662601</v>
      </c>
      <c r="G91" s="321">
        <f>IF(ISBLANK(F91),"-",$D$101/$F$98*F91)</f>
        <v>56593216.51070302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>
        <v>53882280</v>
      </c>
      <c r="E92" s="325">
        <f>IF(ISBLANK(D92),"-",$D$101/$D$98*D92)</f>
        <v>57726540.891127646</v>
      </c>
      <c r="F92" s="324">
        <v>51822859</v>
      </c>
      <c r="G92" s="326">
        <f>IF(ISBLANK(F92),"-",$D$101/$F$98*F92)</f>
        <v>56768769.338396929</v>
      </c>
      <c r="I92" s="685">
        <f>ABS((F96/D96*D95)-F95)/D95</f>
        <v>1.606900661496952E-2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>
        <v>54072749</v>
      </c>
      <c r="E93" s="325">
        <f>IF(ISBLANK(D93),"-",$D$101/$D$98*D93)</f>
        <v>57930599.006652683</v>
      </c>
      <c r="F93" s="324">
        <v>51939612</v>
      </c>
      <c r="G93" s="326">
        <f>IF(ISBLANK(F93),"-",$D$101/$F$98*F93)</f>
        <v>56896665.102051452</v>
      </c>
      <c r="I93" s="685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>
        <f>AVERAGE(D91:D94)</f>
        <v>53858376.333333336</v>
      </c>
      <c r="E95" s="335">
        <f>AVERAGE(E91:E94)</f>
        <v>57700931.804220386</v>
      </c>
      <c r="F95" s="398">
        <f>AVERAGE(F91:F94)</f>
        <v>51808357.333333336</v>
      </c>
      <c r="G95" s="399">
        <f>AVERAGE(G91:G94)</f>
        <v>56752883.6503838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20.46</v>
      </c>
      <c r="E96" s="327"/>
      <c r="F96" s="339">
        <v>20.010000000000002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20.46</v>
      </c>
      <c r="E97" s="342"/>
      <c r="F97" s="341">
        <f>F96*$B$87</f>
        <v>20.010000000000002</v>
      </c>
    </row>
    <row r="98" spans="1:10" ht="19.5" customHeight="1" x14ac:dyDescent="0.3">
      <c r="A98" s="311" t="s">
        <v>76</v>
      </c>
      <c r="B98" s="404">
        <f>(B97/B96)*(B95/B94)*(B93/B92)*(B91/B90)*B89</f>
        <v>100</v>
      </c>
      <c r="C98" s="402" t="s">
        <v>115</v>
      </c>
      <c r="D98" s="405">
        <f>D97*$B$83/100</f>
        <v>20.742348000000003</v>
      </c>
      <c r="E98" s="345"/>
      <c r="F98" s="344">
        <f>F97*$B$83/100</f>
        <v>20.286138000000001</v>
      </c>
    </row>
    <row r="99" spans="1:10" ht="19.5" customHeight="1" x14ac:dyDescent="0.3">
      <c r="A99" s="671" t="s">
        <v>78</v>
      </c>
      <c r="B99" s="686"/>
      <c r="C99" s="402" t="s">
        <v>116</v>
      </c>
      <c r="D99" s="406">
        <f>D98/$B$98</f>
        <v>0.20742348000000002</v>
      </c>
      <c r="E99" s="345"/>
      <c r="F99" s="348">
        <f>F98/$B$98</f>
        <v>0.20286138000000001</v>
      </c>
      <c r="G99" s="407"/>
      <c r="H99" s="337"/>
    </row>
    <row r="100" spans="1:10" ht="19.5" customHeight="1" x14ac:dyDescent="0.3">
      <c r="A100" s="673"/>
      <c r="B100" s="687"/>
      <c r="C100" s="402" t="s">
        <v>80</v>
      </c>
      <c r="D100" s="408">
        <f>$B$56/$B$116</f>
        <v>0.22222222222222221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22.222222222222221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22.222222222222221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>
        <f>AVERAGE(E91:E94,G91:G94)</f>
        <v>57226907.727302097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>
        <f>STDEV(E91:E94,G91:G94)/D103</f>
        <v>9.6130264148111908E-3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900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1</v>
      </c>
      <c r="C108" s="462">
        <v>1</v>
      </c>
      <c r="D108" s="463">
        <v>52657173</v>
      </c>
      <c r="E108" s="437">
        <f t="shared" ref="E108:E113" si="1">IF(ISBLANK(D108),"-",D108/$D$103*$D$100*$B$116)</f>
        <v>184.02941934560639</v>
      </c>
      <c r="F108" s="464">
        <f t="shared" ref="F108:F113" si="2">IF(ISBLANK(D108), "-", (E108/$B$56)*100)</f>
        <v>92.014709672803193</v>
      </c>
    </row>
    <row r="109" spans="1:10" ht="26.25" customHeight="1" x14ac:dyDescent="0.4">
      <c r="A109" s="311" t="s">
        <v>95</v>
      </c>
      <c r="B109" s="312">
        <v>1</v>
      </c>
      <c r="C109" s="458">
        <v>2</v>
      </c>
      <c r="D109" s="460">
        <v>53280750</v>
      </c>
      <c r="E109" s="438">
        <f t="shared" si="1"/>
        <v>186.20873332486758</v>
      </c>
      <c r="F109" s="465">
        <f t="shared" si="2"/>
        <v>93.10436666243379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>
        <v>52896717</v>
      </c>
      <c r="E110" s="438">
        <f t="shared" si="1"/>
        <v>184.8665919607736</v>
      </c>
      <c r="F110" s="465">
        <f t="shared" si="2"/>
        <v>92.433295980386802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>
        <v>54024548</v>
      </c>
      <c r="E111" s="438">
        <f t="shared" si="1"/>
        <v>188.80820280361121</v>
      </c>
      <c r="F111" s="465">
        <f t="shared" si="2"/>
        <v>94.404101401805605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>
        <v>54040733</v>
      </c>
      <c r="E112" s="438">
        <f t="shared" si="1"/>
        <v>188.86476710401732</v>
      </c>
      <c r="F112" s="465">
        <f t="shared" si="2"/>
        <v>94.432383552008659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>
        <v>57324443</v>
      </c>
      <c r="E113" s="439">
        <f t="shared" si="1"/>
        <v>200.34087207074921</v>
      </c>
      <c r="F113" s="466">
        <f t="shared" si="2"/>
        <v>100.17043603537461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188.85309776827089</v>
      </c>
      <c r="F115" s="468">
        <f>AVERAGE(F108:F113)</f>
        <v>94.426548884135443</v>
      </c>
    </row>
    <row r="116" spans="1:10" ht="27" customHeight="1" x14ac:dyDescent="0.4">
      <c r="A116" s="311" t="s">
        <v>103</v>
      </c>
      <c r="B116" s="343">
        <f>(B115/B114)*(B113/B112)*(B111/B110)*(B109/B108)*B107</f>
        <v>900</v>
      </c>
      <c r="C116" s="421"/>
      <c r="D116" s="445" t="s">
        <v>84</v>
      </c>
      <c r="E116" s="443">
        <f>STDEV(E108:E113)/E115</f>
        <v>3.1604720411514173E-2</v>
      </c>
      <c r="F116" s="422">
        <f>STDEV(F108:F113)/F115</f>
        <v>3.1604720411514173E-2</v>
      </c>
      <c r="I116" s="285"/>
    </row>
    <row r="117" spans="1:10" ht="27" customHeight="1" x14ac:dyDescent="0.4">
      <c r="A117" s="671" t="s">
        <v>78</v>
      </c>
      <c r="B117" s="672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673"/>
      <c r="B118" s="674"/>
      <c r="C118" s="285"/>
      <c r="D118" s="447"/>
      <c r="E118" s="699" t="s">
        <v>123</v>
      </c>
      <c r="F118" s="700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184.02941934560639</v>
      </c>
      <c r="F119" s="469">
        <f>MIN(F108:F113)</f>
        <v>92.014709672803193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200.34087207074921</v>
      </c>
      <c r="F120" s="470">
        <f>MAX(F108:F113)</f>
        <v>100.17043603537461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675" t="str">
        <f>B26</f>
        <v>Nevirapine</v>
      </c>
      <c r="D124" s="675"/>
      <c r="E124" s="385" t="s">
        <v>127</v>
      </c>
      <c r="F124" s="385"/>
      <c r="G124" s="471">
        <f>F115</f>
        <v>94.426548884135443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92.014709672803193</v>
      </c>
      <c r="E125" s="396" t="s">
        <v>130</v>
      </c>
      <c r="F125" s="471">
        <f>MAX(F108:F113)</f>
        <v>100.17043603537461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676" t="s">
        <v>26</v>
      </c>
      <c r="C127" s="676"/>
      <c r="E127" s="391" t="s">
        <v>27</v>
      </c>
      <c r="F127" s="426"/>
      <c r="G127" s="676" t="s">
        <v>28</v>
      </c>
      <c r="H127" s="676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6" zoomScale="55" zoomScaleNormal="40" zoomScalePageLayoutView="55" workbookViewId="0">
      <selection activeCell="F125" sqref="F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69" t="s">
        <v>45</v>
      </c>
      <c r="B1" s="669"/>
      <c r="C1" s="669"/>
      <c r="D1" s="669"/>
      <c r="E1" s="669"/>
      <c r="F1" s="669"/>
      <c r="G1" s="669"/>
      <c r="H1" s="669"/>
      <c r="I1" s="669"/>
    </row>
    <row r="2" spans="1:9" ht="18.75" customHeight="1" x14ac:dyDescent="0.25">
      <c r="A2" s="669"/>
      <c r="B2" s="669"/>
      <c r="C2" s="669"/>
      <c r="D2" s="669"/>
      <c r="E2" s="669"/>
      <c r="F2" s="669"/>
      <c r="G2" s="669"/>
      <c r="H2" s="669"/>
      <c r="I2" s="669"/>
    </row>
    <row r="3" spans="1:9" ht="18.75" customHeight="1" x14ac:dyDescent="0.25">
      <c r="A3" s="669"/>
      <c r="B3" s="669"/>
      <c r="C3" s="669"/>
      <c r="D3" s="669"/>
      <c r="E3" s="669"/>
      <c r="F3" s="669"/>
      <c r="G3" s="669"/>
      <c r="H3" s="669"/>
      <c r="I3" s="669"/>
    </row>
    <row r="4" spans="1:9" ht="18.75" customHeight="1" x14ac:dyDescent="0.25">
      <c r="A4" s="669"/>
      <c r="B4" s="669"/>
      <c r="C4" s="669"/>
      <c r="D4" s="669"/>
      <c r="E4" s="669"/>
      <c r="F4" s="669"/>
      <c r="G4" s="669"/>
      <c r="H4" s="669"/>
      <c r="I4" s="669"/>
    </row>
    <row r="5" spans="1:9" ht="18.75" customHeight="1" x14ac:dyDescent="0.25">
      <c r="A5" s="669"/>
      <c r="B5" s="669"/>
      <c r="C5" s="669"/>
      <c r="D5" s="669"/>
      <c r="E5" s="669"/>
      <c r="F5" s="669"/>
      <c r="G5" s="669"/>
      <c r="H5" s="669"/>
      <c r="I5" s="669"/>
    </row>
    <row r="6" spans="1:9" ht="18.75" customHeight="1" x14ac:dyDescent="0.25">
      <c r="A6" s="669"/>
      <c r="B6" s="669"/>
      <c r="C6" s="669"/>
      <c r="D6" s="669"/>
      <c r="E6" s="669"/>
      <c r="F6" s="669"/>
      <c r="G6" s="669"/>
      <c r="H6" s="669"/>
      <c r="I6" s="669"/>
    </row>
    <row r="7" spans="1:9" ht="18.75" customHeight="1" x14ac:dyDescent="0.25">
      <c r="A7" s="669"/>
      <c r="B7" s="669"/>
      <c r="C7" s="669"/>
      <c r="D7" s="669"/>
      <c r="E7" s="669"/>
      <c r="F7" s="669"/>
      <c r="G7" s="669"/>
      <c r="H7" s="669"/>
      <c r="I7" s="669"/>
    </row>
    <row r="8" spans="1:9" x14ac:dyDescent="0.25">
      <c r="A8" s="670" t="s">
        <v>46</v>
      </c>
      <c r="B8" s="670"/>
      <c r="C8" s="670"/>
      <c r="D8" s="670"/>
      <c r="E8" s="670"/>
      <c r="F8" s="670"/>
      <c r="G8" s="670"/>
      <c r="H8" s="670"/>
      <c r="I8" s="670"/>
    </row>
    <row r="9" spans="1:9" x14ac:dyDescent="0.25">
      <c r="A9" s="670"/>
      <c r="B9" s="670"/>
      <c r="C9" s="670"/>
      <c r="D9" s="670"/>
      <c r="E9" s="670"/>
      <c r="F9" s="670"/>
      <c r="G9" s="670"/>
      <c r="H9" s="670"/>
      <c r="I9" s="670"/>
    </row>
    <row r="10" spans="1:9" x14ac:dyDescent="0.25">
      <c r="A10" s="670"/>
      <c r="B10" s="670"/>
      <c r="C10" s="670"/>
      <c r="D10" s="670"/>
      <c r="E10" s="670"/>
      <c r="F10" s="670"/>
      <c r="G10" s="670"/>
      <c r="H10" s="670"/>
      <c r="I10" s="670"/>
    </row>
    <row r="11" spans="1:9" x14ac:dyDescent="0.25">
      <c r="A11" s="670"/>
      <c r="B11" s="670"/>
      <c r="C11" s="670"/>
      <c r="D11" s="670"/>
      <c r="E11" s="670"/>
      <c r="F11" s="670"/>
      <c r="G11" s="670"/>
      <c r="H11" s="670"/>
      <c r="I11" s="670"/>
    </row>
    <row r="12" spans="1:9" x14ac:dyDescent="0.25">
      <c r="A12" s="670"/>
      <c r="B12" s="670"/>
      <c r="C12" s="670"/>
      <c r="D12" s="670"/>
      <c r="E12" s="670"/>
      <c r="F12" s="670"/>
      <c r="G12" s="670"/>
      <c r="H12" s="670"/>
      <c r="I12" s="670"/>
    </row>
    <row r="13" spans="1:9" x14ac:dyDescent="0.25">
      <c r="A13" s="670"/>
      <c r="B13" s="670"/>
      <c r="C13" s="670"/>
      <c r="D13" s="670"/>
      <c r="E13" s="670"/>
      <c r="F13" s="670"/>
      <c r="G13" s="670"/>
      <c r="H13" s="670"/>
      <c r="I13" s="670"/>
    </row>
    <row r="14" spans="1:9" x14ac:dyDescent="0.25">
      <c r="A14" s="670"/>
      <c r="B14" s="670"/>
      <c r="C14" s="670"/>
      <c r="D14" s="670"/>
      <c r="E14" s="670"/>
      <c r="F14" s="670"/>
      <c r="G14" s="670"/>
      <c r="H14" s="670"/>
      <c r="I14" s="670"/>
    </row>
    <row r="15" spans="1:9" ht="19.5" customHeight="1" x14ac:dyDescent="0.3">
      <c r="A15" s="472"/>
    </row>
    <row r="16" spans="1:9" ht="19.5" customHeight="1" x14ac:dyDescent="0.3">
      <c r="A16" s="702" t="s">
        <v>31</v>
      </c>
      <c r="B16" s="703"/>
      <c r="C16" s="703"/>
      <c r="D16" s="703"/>
      <c r="E16" s="703"/>
      <c r="F16" s="703"/>
      <c r="G16" s="703"/>
      <c r="H16" s="704"/>
    </row>
    <row r="17" spans="1:14" ht="20.25" customHeight="1" x14ac:dyDescent="0.25">
      <c r="A17" s="705" t="s">
        <v>47</v>
      </c>
      <c r="B17" s="705"/>
      <c r="C17" s="705"/>
      <c r="D17" s="705"/>
      <c r="E17" s="705"/>
      <c r="F17" s="705"/>
      <c r="G17" s="705"/>
      <c r="H17" s="705"/>
    </row>
    <row r="18" spans="1:14" ht="26.25" customHeight="1" x14ac:dyDescent="0.4">
      <c r="A18" s="474" t="s">
        <v>33</v>
      </c>
      <c r="B18" s="701" t="s">
        <v>5</v>
      </c>
      <c r="C18" s="701"/>
      <c r="D18" s="620"/>
      <c r="E18" s="475"/>
      <c r="F18" s="476"/>
      <c r="G18" s="476"/>
      <c r="H18" s="476"/>
    </row>
    <row r="19" spans="1:14" ht="26.25" customHeight="1" x14ac:dyDescent="0.4">
      <c r="A19" s="474" t="s">
        <v>34</v>
      </c>
      <c r="B19" s="477" t="s">
        <v>7</v>
      </c>
      <c r="C19" s="629">
        <v>1</v>
      </c>
      <c r="D19" s="476"/>
      <c r="E19" s="476"/>
      <c r="F19" s="476"/>
      <c r="G19" s="476"/>
      <c r="H19" s="476"/>
    </row>
    <row r="20" spans="1:14" ht="26.25" customHeight="1" x14ac:dyDescent="0.4">
      <c r="A20" s="474" t="s">
        <v>35</v>
      </c>
      <c r="B20" s="706" t="s">
        <v>138</v>
      </c>
      <c r="C20" s="706"/>
      <c r="D20" s="476"/>
      <c r="E20" s="476"/>
      <c r="F20" s="476"/>
      <c r="G20" s="476"/>
      <c r="H20" s="476"/>
    </row>
    <row r="21" spans="1:14" ht="26.25" customHeight="1" x14ac:dyDescent="0.4">
      <c r="A21" s="474" t="s">
        <v>36</v>
      </c>
      <c r="B21" s="706" t="s">
        <v>11</v>
      </c>
      <c r="C21" s="706"/>
      <c r="D21" s="706"/>
      <c r="E21" s="706"/>
      <c r="F21" s="706"/>
      <c r="G21" s="706"/>
      <c r="H21" s="706"/>
      <c r="I21" s="478"/>
    </row>
    <row r="22" spans="1:14" ht="26.25" customHeight="1" x14ac:dyDescent="0.4">
      <c r="A22" s="474" t="s">
        <v>37</v>
      </c>
      <c r="B22" s="479" t="s">
        <v>12</v>
      </c>
      <c r="C22" s="476"/>
      <c r="D22" s="476"/>
      <c r="E22" s="476"/>
      <c r="F22" s="476"/>
      <c r="G22" s="476"/>
      <c r="H22" s="476"/>
    </row>
    <row r="23" spans="1:14" ht="26.25" customHeight="1" x14ac:dyDescent="0.4">
      <c r="A23" s="474" t="s">
        <v>38</v>
      </c>
      <c r="B23" s="479"/>
      <c r="C23" s="476"/>
      <c r="D23" s="476"/>
      <c r="E23" s="476"/>
      <c r="F23" s="476"/>
      <c r="G23" s="476"/>
      <c r="H23" s="476"/>
    </row>
    <row r="24" spans="1:14" ht="18.75" x14ac:dyDescent="0.3">
      <c r="A24" s="474"/>
      <c r="B24" s="480"/>
    </row>
    <row r="25" spans="1:14" ht="18.75" x14ac:dyDescent="0.3">
      <c r="A25" s="481" t="s">
        <v>1</v>
      </c>
      <c r="B25" s="480"/>
    </row>
    <row r="26" spans="1:14" ht="26.25" customHeight="1" x14ac:dyDescent="0.4">
      <c r="A26" s="482" t="s">
        <v>4</v>
      </c>
      <c r="B26" s="701" t="s">
        <v>132</v>
      </c>
      <c r="C26" s="701"/>
    </row>
    <row r="27" spans="1:14" ht="26.25" customHeight="1" x14ac:dyDescent="0.4">
      <c r="A27" s="483" t="s">
        <v>48</v>
      </c>
      <c r="B27" s="707" t="s">
        <v>137</v>
      </c>
      <c r="C27" s="707"/>
    </row>
    <row r="28" spans="1:14" ht="27" customHeight="1" x14ac:dyDescent="0.4">
      <c r="A28" s="483" t="s">
        <v>6</v>
      </c>
      <c r="B28" s="484">
        <v>99</v>
      </c>
    </row>
    <row r="29" spans="1:14" s="14" customFormat="1" ht="27" customHeight="1" x14ac:dyDescent="0.4">
      <c r="A29" s="483" t="s">
        <v>49</v>
      </c>
      <c r="B29" s="485">
        <v>0</v>
      </c>
      <c r="C29" s="677" t="s">
        <v>50</v>
      </c>
      <c r="D29" s="678"/>
      <c r="E29" s="678"/>
      <c r="F29" s="678"/>
      <c r="G29" s="679"/>
      <c r="I29" s="486"/>
      <c r="J29" s="486"/>
      <c r="K29" s="486"/>
      <c r="L29" s="486"/>
    </row>
    <row r="30" spans="1:14" s="14" customFormat="1" ht="19.5" customHeight="1" x14ac:dyDescent="0.3">
      <c r="A30" s="483" t="s">
        <v>51</v>
      </c>
      <c r="B30" s="487">
        <f>B28-B29</f>
        <v>99</v>
      </c>
      <c r="C30" s="488"/>
      <c r="D30" s="488"/>
      <c r="E30" s="488"/>
      <c r="F30" s="488"/>
      <c r="G30" s="489"/>
      <c r="I30" s="486"/>
      <c r="J30" s="486"/>
      <c r="K30" s="486"/>
      <c r="L30" s="486"/>
    </row>
    <row r="31" spans="1:14" s="14" customFormat="1" ht="27" customHeight="1" x14ac:dyDescent="0.4">
      <c r="A31" s="483" t="s">
        <v>52</v>
      </c>
      <c r="B31" s="490">
        <v>1</v>
      </c>
      <c r="C31" s="680" t="s">
        <v>53</v>
      </c>
      <c r="D31" s="681"/>
      <c r="E31" s="681"/>
      <c r="F31" s="681"/>
      <c r="G31" s="681"/>
      <c r="H31" s="682"/>
      <c r="I31" s="486"/>
      <c r="J31" s="486"/>
      <c r="K31" s="486"/>
      <c r="L31" s="486"/>
    </row>
    <row r="32" spans="1:14" s="14" customFormat="1" ht="27" customHeight="1" x14ac:dyDescent="0.4">
      <c r="A32" s="483" t="s">
        <v>54</v>
      </c>
      <c r="B32" s="490">
        <v>1</v>
      </c>
      <c r="C32" s="680" t="s">
        <v>55</v>
      </c>
      <c r="D32" s="681"/>
      <c r="E32" s="681"/>
      <c r="F32" s="681"/>
      <c r="G32" s="681"/>
      <c r="H32" s="682"/>
      <c r="I32" s="486"/>
      <c r="J32" s="486"/>
      <c r="K32" s="486"/>
      <c r="L32" s="491"/>
      <c r="M32" s="491"/>
      <c r="N32" s="492"/>
    </row>
    <row r="33" spans="1:14" s="14" customFormat="1" ht="17.25" customHeight="1" x14ac:dyDescent="0.3">
      <c r="A33" s="483"/>
      <c r="B33" s="493"/>
      <c r="C33" s="494"/>
      <c r="D33" s="494"/>
      <c r="E33" s="494"/>
      <c r="F33" s="494"/>
      <c r="G33" s="494"/>
      <c r="H33" s="494"/>
      <c r="I33" s="486"/>
      <c r="J33" s="486"/>
      <c r="K33" s="486"/>
      <c r="L33" s="491"/>
      <c r="M33" s="491"/>
      <c r="N33" s="492"/>
    </row>
    <row r="34" spans="1:14" s="14" customFormat="1" ht="18.75" x14ac:dyDescent="0.3">
      <c r="A34" s="483" t="s">
        <v>56</v>
      </c>
      <c r="B34" s="495">
        <f>B31/B32</f>
        <v>1</v>
      </c>
      <c r="C34" s="473" t="s">
        <v>57</v>
      </c>
      <c r="D34" s="473"/>
      <c r="E34" s="473"/>
      <c r="F34" s="473"/>
      <c r="G34" s="473"/>
      <c r="I34" s="486"/>
      <c r="J34" s="486"/>
      <c r="K34" s="486"/>
      <c r="L34" s="491"/>
      <c r="M34" s="491"/>
      <c r="N34" s="492"/>
    </row>
    <row r="35" spans="1:14" s="14" customFormat="1" ht="19.5" customHeight="1" x14ac:dyDescent="0.3">
      <c r="A35" s="483"/>
      <c r="B35" s="487"/>
      <c r="G35" s="473"/>
      <c r="I35" s="486"/>
      <c r="J35" s="486"/>
      <c r="K35" s="486"/>
      <c r="L35" s="491"/>
      <c r="M35" s="491"/>
      <c r="N35" s="492"/>
    </row>
    <row r="36" spans="1:14" s="14" customFormat="1" ht="27" customHeight="1" x14ac:dyDescent="0.4">
      <c r="A36" s="496" t="s">
        <v>58</v>
      </c>
      <c r="B36" s="497">
        <v>20</v>
      </c>
      <c r="C36" s="473"/>
      <c r="D36" s="683" t="s">
        <v>59</v>
      </c>
      <c r="E36" s="708"/>
      <c r="F36" s="683" t="s">
        <v>60</v>
      </c>
      <c r="G36" s="684"/>
      <c r="J36" s="486"/>
      <c r="K36" s="486"/>
      <c r="L36" s="491"/>
      <c r="M36" s="491"/>
      <c r="N36" s="492"/>
    </row>
    <row r="37" spans="1:14" s="14" customFormat="1" ht="27" customHeight="1" x14ac:dyDescent="0.4">
      <c r="A37" s="498" t="s">
        <v>61</v>
      </c>
      <c r="B37" s="499">
        <v>4</v>
      </c>
      <c r="C37" s="500" t="s">
        <v>62</v>
      </c>
      <c r="D37" s="501" t="s">
        <v>63</v>
      </c>
      <c r="E37" s="502" t="s">
        <v>64</v>
      </c>
      <c r="F37" s="501" t="s">
        <v>63</v>
      </c>
      <c r="G37" s="503" t="s">
        <v>64</v>
      </c>
      <c r="I37" s="504" t="s">
        <v>65</v>
      </c>
      <c r="J37" s="486"/>
      <c r="K37" s="486"/>
      <c r="L37" s="491"/>
      <c r="M37" s="491"/>
      <c r="N37" s="492"/>
    </row>
    <row r="38" spans="1:14" s="14" customFormat="1" ht="26.25" customHeight="1" x14ac:dyDescent="0.4">
      <c r="A38" s="498" t="s">
        <v>66</v>
      </c>
      <c r="B38" s="499">
        <v>20</v>
      </c>
      <c r="C38" s="505">
        <v>1</v>
      </c>
      <c r="D38" s="506">
        <v>101364562</v>
      </c>
      <c r="E38" s="507">
        <f>IF(ISBLANK(D38),"-",$D$48/$D$45*D38)</f>
        <v>106691677.45534539</v>
      </c>
      <c r="F38" s="506">
        <v>107011056</v>
      </c>
      <c r="G38" s="508">
        <f>IF(ISBLANK(F38),"-",$D$48/$F$45*F38)</f>
        <v>105730657.73483118</v>
      </c>
      <c r="I38" s="509"/>
      <c r="J38" s="486"/>
      <c r="K38" s="486"/>
      <c r="L38" s="491"/>
      <c r="M38" s="491"/>
      <c r="N38" s="492"/>
    </row>
    <row r="39" spans="1:14" s="14" customFormat="1" ht="26.25" customHeight="1" x14ac:dyDescent="0.4">
      <c r="A39" s="498" t="s">
        <v>67</v>
      </c>
      <c r="B39" s="499">
        <v>1</v>
      </c>
      <c r="C39" s="510">
        <v>2</v>
      </c>
      <c r="D39" s="511">
        <v>100932338</v>
      </c>
      <c r="E39" s="512">
        <f>IF(ISBLANK(D39),"-",$D$48/$D$45*D39)</f>
        <v>106236738.34559558</v>
      </c>
      <c r="F39" s="511">
        <v>107071124</v>
      </c>
      <c r="G39" s="513">
        <f>IF(ISBLANK(F39),"-",$D$48/$F$45*F39)</f>
        <v>105790007.01504776</v>
      </c>
      <c r="I39" s="685">
        <f>ABS((F43/D43*D42)-F42)/D42</f>
        <v>5.3434460201281135E-3</v>
      </c>
      <c r="J39" s="486"/>
      <c r="K39" s="486"/>
      <c r="L39" s="491"/>
      <c r="M39" s="491"/>
      <c r="N39" s="492"/>
    </row>
    <row r="40" spans="1:14" ht="26.25" customHeight="1" x14ac:dyDescent="0.4">
      <c r="A40" s="498" t="s">
        <v>68</v>
      </c>
      <c r="B40" s="499">
        <v>1</v>
      </c>
      <c r="C40" s="510">
        <v>3</v>
      </c>
      <c r="D40" s="511">
        <v>100956487</v>
      </c>
      <c r="E40" s="512">
        <f>IF(ISBLANK(D40),"-",$D$48/$D$45*D40)</f>
        <v>106262156.47268096</v>
      </c>
      <c r="F40" s="511">
        <v>107353372</v>
      </c>
      <c r="G40" s="513">
        <f>IF(ISBLANK(F40),"-",$D$48/$F$45*F40)</f>
        <v>106068877.88876702</v>
      </c>
      <c r="I40" s="685"/>
      <c r="L40" s="491"/>
      <c r="M40" s="491"/>
      <c r="N40" s="514"/>
    </row>
    <row r="41" spans="1:14" ht="27" customHeight="1" x14ac:dyDescent="0.4">
      <c r="A41" s="498" t="s">
        <v>69</v>
      </c>
      <c r="B41" s="499">
        <v>1</v>
      </c>
      <c r="C41" s="515">
        <v>4</v>
      </c>
      <c r="D41" s="516"/>
      <c r="E41" s="517" t="str">
        <f>IF(ISBLANK(D41),"-",$D$48/$D$45*D41)</f>
        <v>-</v>
      </c>
      <c r="F41" s="516"/>
      <c r="G41" s="518" t="str">
        <f>IF(ISBLANK(F41),"-",$D$48/$F$45*F41)</f>
        <v>-</v>
      </c>
      <c r="I41" s="519"/>
      <c r="L41" s="491"/>
      <c r="M41" s="491"/>
      <c r="N41" s="514"/>
    </row>
    <row r="42" spans="1:14" ht="27" customHeight="1" x14ac:dyDescent="0.4">
      <c r="A42" s="498" t="s">
        <v>70</v>
      </c>
      <c r="B42" s="499">
        <v>1</v>
      </c>
      <c r="C42" s="520" t="s">
        <v>71</v>
      </c>
      <c r="D42" s="521">
        <f>AVERAGE(D38:D41)</f>
        <v>101084462.33333333</v>
      </c>
      <c r="E42" s="522">
        <f>AVERAGE(E38:E41)</f>
        <v>106396857.42454064</v>
      </c>
      <c r="F42" s="521">
        <f>AVERAGE(F38:F41)</f>
        <v>107145184</v>
      </c>
      <c r="G42" s="523">
        <f>AVERAGE(G38:G41)</f>
        <v>105863180.87954865</v>
      </c>
      <c r="H42" s="524"/>
    </row>
    <row r="43" spans="1:14" ht="26.25" customHeight="1" x14ac:dyDescent="0.4">
      <c r="A43" s="498" t="s">
        <v>72</v>
      </c>
      <c r="B43" s="499">
        <v>1</v>
      </c>
      <c r="C43" s="525" t="s">
        <v>73</v>
      </c>
      <c r="D43" s="526">
        <v>28.79</v>
      </c>
      <c r="E43" s="514"/>
      <c r="F43" s="526">
        <v>30.67</v>
      </c>
      <c r="H43" s="524"/>
    </row>
    <row r="44" spans="1:14" ht="26.25" customHeight="1" x14ac:dyDescent="0.4">
      <c r="A44" s="498" t="s">
        <v>74</v>
      </c>
      <c r="B44" s="499">
        <v>1</v>
      </c>
      <c r="C44" s="527" t="s">
        <v>75</v>
      </c>
      <c r="D44" s="528">
        <f>D43*$B$34</f>
        <v>28.79</v>
      </c>
      <c r="E44" s="529"/>
      <c r="F44" s="528">
        <f>F43*$B$34</f>
        <v>30.67</v>
      </c>
      <c r="H44" s="524"/>
    </row>
    <row r="45" spans="1:14" ht="19.5" customHeight="1" x14ac:dyDescent="0.3">
      <c r="A45" s="498" t="s">
        <v>76</v>
      </c>
      <c r="B45" s="530">
        <f>(B44/B43)*(B42/B41)*(B40/B39)*(B38/B37)*B36</f>
        <v>100</v>
      </c>
      <c r="C45" s="527" t="s">
        <v>77</v>
      </c>
      <c r="D45" s="531">
        <f>D44*$B$30/100</f>
        <v>28.502099999999999</v>
      </c>
      <c r="E45" s="532"/>
      <c r="F45" s="531">
        <f>F44*$B$30/100</f>
        <v>30.363300000000002</v>
      </c>
      <c r="H45" s="524"/>
    </row>
    <row r="46" spans="1:14" ht="19.5" customHeight="1" x14ac:dyDescent="0.3">
      <c r="A46" s="671" t="s">
        <v>78</v>
      </c>
      <c r="B46" s="672"/>
      <c r="C46" s="527" t="s">
        <v>79</v>
      </c>
      <c r="D46" s="533">
        <f>D45/$B$45</f>
        <v>0.28502099999999997</v>
      </c>
      <c r="E46" s="534"/>
      <c r="F46" s="535">
        <f>F45/$B$45</f>
        <v>0.30363300000000004</v>
      </c>
      <c r="H46" s="524"/>
    </row>
    <row r="47" spans="1:14" ht="27" customHeight="1" x14ac:dyDescent="0.4">
      <c r="A47" s="673"/>
      <c r="B47" s="674"/>
      <c r="C47" s="536" t="s">
        <v>80</v>
      </c>
      <c r="D47" s="537">
        <v>0.3</v>
      </c>
      <c r="E47" s="538"/>
      <c r="F47" s="534"/>
      <c r="H47" s="524"/>
    </row>
    <row r="48" spans="1:14" ht="18.75" x14ac:dyDescent="0.3">
      <c r="C48" s="539" t="s">
        <v>81</v>
      </c>
      <c r="D48" s="531">
        <f>D47*$B$45</f>
        <v>30</v>
      </c>
      <c r="F48" s="540"/>
      <c r="H48" s="524"/>
    </row>
    <row r="49" spans="1:12" ht="19.5" customHeight="1" x14ac:dyDescent="0.3">
      <c r="C49" s="541" t="s">
        <v>82</v>
      </c>
      <c r="D49" s="542">
        <f>D48/B34</f>
        <v>30</v>
      </c>
      <c r="F49" s="540"/>
      <c r="H49" s="524"/>
    </row>
    <row r="50" spans="1:12" ht="18.75" x14ac:dyDescent="0.3">
      <c r="C50" s="496" t="s">
        <v>83</v>
      </c>
      <c r="D50" s="543">
        <f>AVERAGE(E38:E41,G38:G41)</f>
        <v>106130019.15204465</v>
      </c>
      <c r="F50" s="544"/>
      <c r="H50" s="524"/>
    </row>
    <row r="51" spans="1:12" ht="18.75" x14ac:dyDescent="0.3">
      <c r="C51" s="498" t="s">
        <v>84</v>
      </c>
      <c r="D51" s="545">
        <f>STDEV(E38:E41,G38:G41)/D50</f>
        <v>3.3263767522716055E-3</v>
      </c>
      <c r="F51" s="544"/>
      <c r="H51" s="524"/>
    </row>
    <row r="52" spans="1:12" ht="19.5" customHeight="1" x14ac:dyDescent="0.3">
      <c r="C52" s="546" t="s">
        <v>20</v>
      </c>
      <c r="D52" s="547">
        <f>COUNT(E38:E41,G38:G41)</f>
        <v>6</v>
      </c>
      <c r="F52" s="544"/>
    </row>
    <row r="54" spans="1:12" ht="18.75" x14ac:dyDescent="0.3">
      <c r="A54" s="548" t="s">
        <v>1</v>
      </c>
      <c r="B54" s="549" t="s">
        <v>85</v>
      </c>
    </row>
    <row r="55" spans="1:12" ht="18.75" x14ac:dyDescent="0.3">
      <c r="A55" s="473" t="s">
        <v>86</v>
      </c>
      <c r="B55" s="550" t="str">
        <f>B21</f>
        <v>Each film coated tablets contains: Lamivudine USP 150 mg, Nevirapine USP 200 mg and Zidovudine USP 300 mg.</v>
      </c>
    </row>
    <row r="56" spans="1:12" ht="26.25" customHeight="1" x14ac:dyDescent="0.4">
      <c r="A56" s="551" t="s">
        <v>87</v>
      </c>
      <c r="B56" s="552">
        <v>300</v>
      </c>
      <c r="C56" s="473" t="str">
        <f>B20</f>
        <v>Zidovudine</v>
      </c>
      <c r="H56" s="553"/>
    </row>
    <row r="57" spans="1:12" ht="18.75" x14ac:dyDescent="0.3">
      <c r="A57" s="550" t="s">
        <v>88</v>
      </c>
      <c r="B57" s="621">
        <f>Uniformity!C46</f>
        <v>1138.4955</v>
      </c>
      <c r="H57" s="553"/>
    </row>
    <row r="58" spans="1:12" ht="19.5" customHeight="1" x14ac:dyDescent="0.3">
      <c r="H58" s="553"/>
    </row>
    <row r="59" spans="1:12" s="14" customFormat="1" ht="27" customHeight="1" x14ac:dyDescent="0.4">
      <c r="A59" s="496" t="s">
        <v>89</v>
      </c>
      <c r="B59" s="497">
        <v>100</v>
      </c>
      <c r="C59" s="473"/>
      <c r="D59" s="554" t="s">
        <v>90</v>
      </c>
      <c r="E59" s="555" t="s">
        <v>62</v>
      </c>
      <c r="F59" s="555" t="s">
        <v>63</v>
      </c>
      <c r="G59" s="555" t="s">
        <v>91</v>
      </c>
      <c r="H59" s="500" t="s">
        <v>92</v>
      </c>
      <c r="L59" s="486"/>
    </row>
    <row r="60" spans="1:12" s="14" customFormat="1" ht="26.25" customHeight="1" x14ac:dyDescent="0.4">
      <c r="A60" s="498" t="s">
        <v>93</v>
      </c>
      <c r="B60" s="499">
        <v>5</v>
      </c>
      <c r="C60" s="688" t="s">
        <v>94</v>
      </c>
      <c r="D60" s="691">
        <v>1142.7</v>
      </c>
      <c r="E60" s="556">
        <v>1</v>
      </c>
      <c r="F60" s="557"/>
      <c r="G60" s="622" t="str">
        <f>IF(ISBLANK(F60),"-",(F60/$D$50*$D$47*$B$68)*($B$57/$D$60))</f>
        <v>-</v>
      </c>
      <c r="H60" s="640" t="str">
        <f t="shared" ref="H60:H71" si="0">IF(ISBLANK(F60),"-",(G60/$B$56)*100)</f>
        <v>-</v>
      </c>
      <c r="L60" s="486"/>
    </row>
    <row r="61" spans="1:12" s="14" customFormat="1" ht="26.25" customHeight="1" x14ac:dyDescent="0.4">
      <c r="A61" s="498" t="s">
        <v>95</v>
      </c>
      <c r="B61" s="499">
        <v>50</v>
      </c>
      <c r="C61" s="689"/>
      <c r="D61" s="692"/>
      <c r="E61" s="558">
        <v>2</v>
      </c>
      <c r="F61" s="511"/>
      <c r="G61" s="623" t="str">
        <f>IF(ISBLANK(F61),"-",(F61/$D$50*$D$47*$B$68)*($B$57/$D$60))</f>
        <v>-</v>
      </c>
      <c r="H61" s="641" t="str">
        <f t="shared" si="0"/>
        <v>-</v>
      </c>
      <c r="L61" s="486"/>
    </row>
    <row r="62" spans="1:12" s="14" customFormat="1" ht="26.25" customHeight="1" x14ac:dyDescent="0.4">
      <c r="A62" s="498" t="s">
        <v>96</v>
      </c>
      <c r="B62" s="499">
        <v>1</v>
      </c>
      <c r="C62" s="689"/>
      <c r="D62" s="692"/>
      <c r="E62" s="558">
        <v>3</v>
      </c>
      <c r="F62" s="559"/>
      <c r="G62" s="623" t="str">
        <f>IF(ISBLANK(F62),"-",(F62/$D$50*$D$47*$B$68)*($B$57/$D$60))</f>
        <v>-</v>
      </c>
      <c r="H62" s="641" t="str">
        <f t="shared" si="0"/>
        <v>-</v>
      </c>
      <c r="L62" s="486"/>
    </row>
    <row r="63" spans="1:12" ht="27" customHeight="1" x14ac:dyDescent="0.4">
      <c r="A63" s="498" t="s">
        <v>97</v>
      </c>
      <c r="B63" s="499">
        <v>1</v>
      </c>
      <c r="C63" s="698"/>
      <c r="D63" s="693"/>
      <c r="E63" s="560">
        <v>4</v>
      </c>
      <c r="F63" s="561"/>
      <c r="G63" s="623" t="str">
        <f>IF(ISBLANK(F63),"-",(F63/$D$50*$D$47*$B$68)*($B$57/$D$60))</f>
        <v>-</v>
      </c>
      <c r="H63" s="641" t="str">
        <f t="shared" si="0"/>
        <v>-</v>
      </c>
    </row>
    <row r="64" spans="1:12" ht="26.25" customHeight="1" x14ac:dyDescent="0.4">
      <c r="A64" s="498" t="s">
        <v>98</v>
      </c>
      <c r="B64" s="499">
        <v>1</v>
      </c>
      <c r="C64" s="688" t="s">
        <v>99</v>
      </c>
      <c r="D64" s="691">
        <v>1144.04</v>
      </c>
      <c r="E64" s="556">
        <v>1</v>
      </c>
      <c r="F64" s="557">
        <v>101456332</v>
      </c>
      <c r="G64" s="622">
        <f>IF(ISBLANK(F64),"-",(F64/$D$50*$D$47*$B$68)*($B$57/$D$64))</f>
        <v>285.39888901177119</v>
      </c>
      <c r="H64" s="640">
        <f t="shared" si="0"/>
        <v>95.132963003923734</v>
      </c>
    </row>
    <row r="65" spans="1:8" ht="26.25" customHeight="1" x14ac:dyDescent="0.4">
      <c r="A65" s="498" t="s">
        <v>100</v>
      </c>
      <c r="B65" s="499">
        <v>1</v>
      </c>
      <c r="C65" s="689"/>
      <c r="D65" s="692"/>
      <c r="E65" s="558">
        <v>2</v>
      </c>
      <c r="F65" s="511">
        <v>101644155</v>
      </c>
      <c r="G65" s="623">
        <f>IF(ISBLANK(F65),"-",(F65/$D$50*$D$47*$B$68)*($B$57/$D$64))</f>
        <v>285.9272392337254</v>
      </c>
      <c r="H65" s="641">
        <f t="shared" si="0"/>
        <v>95.309079744575129</v>
      </c>
    </row>
    <row r="66" spans="1:8" ht="26.25" customHeight="1" x14ac:dyDescent="0.4">
      <c r="A66" s="498" t="s">
        <v>101</v>
      </c>
      <c r="B66" s="499">
        <v>1</v>
      </c>
      <c r="C66" s="689"/>
      <c r="D66" s="692"/>
      <c r="E66" s="558">
        <v>3</v>
      </c>
      <c r="F66" s="511">
        <v>101840274</v>
      </c>
      <c r="G66" s="623">
        <f>IF(ISBLANK(F66),"-",(F66/$D$50*$D$47*$B$68)*($B$57/$D$64))</f>
        <v>286.4789262857874</v>
      </c>
      <c r="H66" s="641">
        <f t="shared" si="0"/>
        <v>95.492975428595798</v>
      </c>
    </row>
    <row r="67" spans="1:8" ht="27" customHeight="1" x14ac:dyDescent="0.4">
      <c r="A67" s="498" t="s">
        <v>102</v>
      </c>
      <c r="B67" s="499">
        <v>1</v>
      </c>
      <c r="C67" s="698"/>
      <c r="D67" s="693"/>
      <c r="E67" s="560">
        <v>4</v>
      </c>
      <c r="F67" s="561"/>
      <c r="G67" s="639" t="str">
        <f>IF(ISBLANK(F67),"-",(F67/$D$50*$D$47*$B$68)*($B$57/$D$64))</f>
        <v>-</v>
      </c>
      <c r="H67" s="642" t="str">
        <f t="shared" si="0"/>
        <v>-</v>
      </c>
    </row>
    <row r="68" spans="1:8" ht="26.25" customHeight="1" x14ac:dyDescent="0.4">
      <c r="A68" s="498" t="s">
        <v>103</v>
      </c>
      <c r="B68" s="562">
        <f>(B67/B66)*(B65/B64)*(B63/B62)*(B61/B60)*B59</f>
        <v>1000</v>
      </c>
      <c r="C68" s="688" t="s">
        <v>104</v>
      </c>
      <c r="D68" s="691">
        <v>1138.77</v>
      </c>
      <c r="E68" s="556">
        <v>1</v>
      </c>
      <c r="F68" s="557">
        <v>100098683</v>
      </c>
      <c r="G68" s="622">
        <f>IF(ISBLANK(F68),"-",(F68/$D$50*$D$47*$B$68)*($B$57/$D$68))</f>
        <v>282.88288758468303</v>
      </c>
      <c r="H68" s="641">
        <f t="shared" si="0"/>
        <v>94.294295861561011</v>
      </c>
    </row>
    <row r="69" spans="1:8" ht="27" customHeight="1" x14ac:dyDescent="0.4">
      <c r="A69" s="546" t="s">
        <v>105</v>
      </c>
      <c r="B69" s="563">
        <f>(D47*B68)/B56*B57</f>
        <v>1138.4955</v>
      </c>
      <c r="C69" s="689"/>
      <c r="D69" s="692"/>
      <c r="E69" s="558">
        <v>2</v>
      </c>
      <c r="F69" s="511">
        <v>100696583</v>
      </c>
      <c r="G69" s="623">
        <f>IF(ISBLANK(F69),"-",(F69/$D$50*$D$47*$B$68)*($B$57/$D$68))</f>
        <v>284.57257693341182</v>
      </c>
      <c r="H69" s="641">
        <f t="shared" si="0"/>
        <v>94.857525644470613</v>
      </c>
    </row>
    <row r="70" spans="1:8" ht="26.25" customHeight="1" x14ac:dyDescent="0.4">
      <c r="A70" s="694" t="s">
        <v>78</v>
      </c>
      <c r="B70" s="695"/>
      <c r="C70" s="689"/>
      <c r="D70" s="692"/>
      <c r="E70" s="558">
        <v>3</v>
      </c>
      <c r="F70" s="511">
        <v>100901098</v>
      </c>
      <c r="G70" s="623">
        <f>IF(ISBLANK(F70),"-",(F70/$D$50*$D$47*$B$68)*($B$57/$D$68))</f>
        <v>285.15054451520695</v>
      </c>
      <c r="H70" s="641">
        <f t="shared" si="0"/>
        <v>95.050181505068991</v>
      </c>
    </row>
    <row r="71" spans="1:8" ht="27" customHeight="1" x14ac:dyDescent="0.4">
      <c r="A71" s="696"/>
      <c r="B71" s="697"/>
      <c r="C71" s="690"/>
      <c r="D71" s="693"/>
      <c r="E71" s="560">
        <v>4</v>
      </c>
      <c r="F71" s="561"/>
      <c r="G71" s="639" t="str">
        <f>IF(ISBLANK(F71),"-",(F71/$D$50*$D$47*$B$68)*($B$57/$D$68))</f>
        <v>-</v>
      </c>
      <c r="H71" s="642" t="str">
        <f t="shared" si="0"/>
        <v>-</v>
      </c>
    </row>
    <row r="72" spans="1:8" ht="26.25" customHeight="1" x14ac:dyDescent="0.4">
      <c r="A72" s="564"/>
      <c r="B72" s="564"/>
      <c r="C72" s="564"/>
      <c r="D72" s="564"/>
      <c r="E72" s="564"/>
      <c r="F72" s="566" t="s">
        <v>71</v>
      </c>
      <c r="G72" s="628">
        <f>AVERAGE(G60:G71)</f>
        <v>285.06851059409763</v>
      </c>
      <c r="H72" s="643">
        <f>AVERAGE(H60:H71)</f>
        <v>95.022836864699215</v>
      </c>
    </row>
    <row r="73" spans="1:8" ht="26.25" customHeight="1" x14ac:dyDescent="0.4">
      <c r="C73" s="564"/>
      <c r="D73" s="564"/>
      <c r="E73" s="564"/>
      <c r="F73" s="567" t="s">
        <v>84</v>
      </c>
      <c r="G73" s="627">
        <f>STDEV(G60:G71)/G72</f>
        <v>4.399749491631133E-3</v>
      </c>
      <c r="H73" s="627">
        <f>STDEV(H60:H71)/H72</f>
        <v>4.3997494916311261E-3</v>
      </c>
    </row>
    <row r="74" spans="1:8" ht="27" customHeight="1" x14ac:dyDescent="0.4">
      <c r="A74" s="564"/>
      <c r="B74" s="564"/>
      <c r="C74" s="565"/>
      <c r="D74" s="565"/>
      <c r="E74" s="568"/>
      <c r="F74" s="569" t="s">
        <v>20</v>
      </c>
      <c r="G74" s="570">
        <f>COUNT(G60:G71)</f>
        <v>6</v>
      </c>
      <c r="H74" s="570">
        <f>COUNT(H60:H71)</f>
        <v>6</v>
      </c>
    </row>
    <row r="76" spans="1:8" ht="26.25" customHeight="1" x14ac:dyDescent="0.4">
      <c r="A76" s="482" t="s">
        <v>106</v>
      </c>
      <c r="B76" s="571" t="s">
        <v>107</v>
      </c>
      <c r="C76" s="675" t="str">
        <f>B26</f>
        <v>ZIDOVUDINE</v>
      </c>
      <c r="D76" s="675"/>
      <c r="E76" s="572" t="s">
        <v>108</v>
      </c>
      <c r="F76" s="572"/>
      <c r="G76" s="573">
        <f>H72</f>
        <v>95.022836864699215</v>
      </c>
      <c r="H76" s="574"/>
    </row>
    <row r="77" spans="1:8" ht="18.75" x14ac:dyDescent="0.3">
      <c r="A77" s="481" t="s">
        <v>109</v>
      </c>
      <c r="B77" s="481" t="s">
        <v>110</v>
      </c>
    </row>
    <row r="78" spans="1:8" ht="18.75" x14ac:dyDescent="0.3">
      <c r="A78" s="481"/>
      <c r="B78" s="481"/>
    </row>
    <row r="79" spans="1:8" ht="26.25" customHeight="1" x14ac:dyDescent="0.4">
      <c r="A79" s="482" t="s">
        <v>4</v>
      </c>
      <c r="B79" s="709" t="str">
        <f>B26</f>
        <v>ZIDOVUDINE</v>
      </c>
      <c r="C79" s="709"/>
    </row>
    <row r="80" spans="1:8" ht="26.25" customHeight="1" x14ac:dyDescent="0.4">
      <c r="A80" s="483" t="s">
        <v>48</v>
      </c>
      <c r="B80" s="709" t="str">
        <f>B27</f>
        <v>Z 1 1</v>
      </c>
      <c r="C80" s="709"/>
    </row>
    <row r="81" spans="1:12" ht="27" customHeight="1" x14ac:dyDescent="0.4">
      <c r="A81" s="483" t="s">
        <v>6</v>
      </c>
      <c r="B81" s="575">
        <f>B28</f>
        <v>99</v>
      </c>
    </row>
    <row r="82" spans="1:12" s="14" customFormat="1" ht="27" customHeight="1" x14ac:dyDescent="0.4">
      <c r="A82" s="483" t="s">
        <v>49</v>
      </c>
      <c r="B82" s="485">
        <v>0</v>
      </c>
      <c r="C82" s="677" t="s">
        <v>50</v>
      </c>
      <c r="D82" s="678"/>
      <c r="E82" s="678"/>
      <c r="F82" s="678"/>
      <c r="G82" s="679"/>
      <c r="I82" s="486"/>
      <c r="J82" s="486"/>
      <c r="K82" s="486"/>
      <c r="L82" s="486"/>
    </row>
    <row r="83" spans="1:12" s="14" customFormat="1" ht="19.5" customHeight="1" x14ac:dyDescent="0.3">
      <c r="A83" s="483" t="s">
        <v>51</v>
      </c>
      <c r="B83" s="487">
        <f>B81-B82</f>
        <v>99</v>
      </c>
      <c r="C83" s="488"/>
      <c r="D83" s="488"/>
      <c r="E83" s="488"/>
      <c r="F83" s="488"/>
      <c r="G83" s="489"/>
      <c r="I83" s="486"/>
      <c r="J83" s="486"/>
      <c r="K83" s="486"/>
      <c r="L83" s="486"/>
    </row>
    <row r="84" spans="1:12" s="14" customFormat="1" ht="27" customHeight="1" x14ac:dyDescent="0.4">
      <c r="A84" s="483" t="s">
        <v>52</v>
      </c>
      <c r="B84" s="490">
        <v>1</v>
      </c>
      <c r="C84" s="680" t="s">
        <v>111</v>
      </c>
      <c r="D84" s="681"/>
      <c r="E84" s="681"/>
      <c r="F84" s="681"/>
      <c r="G84" s="681"/>
      <c r="H84" s="682"/>
      <c r="I84" s="486"/>
      <c r="J84" s="486"/>
      <c r="K84" s="486"/>
      <c r="L84" s="486"/>
    </row>
    <row r="85" spans="1:12" s="14" customFormat="1" ht="27" customHeight="1" x14ac:dyDescent="0.4">
      <c r="A85" s="483" t="s">
        <v>54</v>
      </c>
      <c r="B85" s="490">
        <v>1</v>
      </c>
      <c r="C85" s="680" t="s">
        <v>112</v>
      </c>
      <c r="D85" s="681"/>
      <c r="E85" s="681"/>
      <c r="F85" s="681"/>
      <c r="G85" s="681"/>
      <c r="H85" s="682"/>
      <c r="I85" s="486"/>
      <c r="J85" s="486"/>
      <c r="K85" s="486"/>
      <c r="L85" s="486"/>
    </row>
    <row r="86" spans="1:12" s="14" customFormat="1" ht="18.75" x14ac:dyDescent="0.3">
      <c r="A86" s="483"/>
      <c r="B86" s="493"/>
      <c r="C86" s="494"/>
      <c r="D86" s="494"/>
      <c r="E86" s="494"/>
      <c r="F86" s="494"/>
      <c r="G86" s="494"/>
      <c r="H86" s="494"/>
      <c r="I86" s="486"/>
      <c r="J86" s="486"/>
      <c r="K86" s="486"/>
      <c r="L86" s="486"/>
    </row>
    <row r="87" spans="1:12" s="14" customFormat="1" ht="18.75" x14ac:dyDescent="0.3">
      <c r="A87" s="483" t="s">
        <v>56</v>
      </c>
      <c r="B87" s="495">
        <f>B84/B85</f>
        <v>1</v>
      </c>
      <c r="C87" s="473" t="s">
        <v>57</v>
      </c>
      <c r="D87" s="473"/>
      <c r="E87" s="473"/>
      <c r="F87" s="473"/>
      <c r="G87" s="473"/>
      <c r="I87" s="486"/>
      <c r="J87" s="486"/>
      <c r="K87" s="486"/>
      <c r="L87" s="486"/>
    </row>
    <row r="88" spans="1:12" ht="19.5" customHeight="1" x14ac:dyDescent="0.3">
      <c r="A88" s="481"/>
      <c r="B88" s="481"/>
    </row>
    <row r="89" spans="1:12" ht="27" customHeight="1" x14ac:dyDescent="0.4">
      <c r="A89" s="496" t="s">
        <v>58</v>
      </c>
      <c r="B89" s="497">
        <v>20</v>
      </c>
      <c r="D89" s="576" t="s">
        <v>59</v>
      </c>
      <c r="E89" s="577"/>
      <c r="F89" s="683" t="s">
        <v>60</v>
      </c>
      <c r="G89" s="684"/>
    </row>
    <row r="90" spans="1:12" ht="27" customHeight="1" x14ac:dyDescent="0.4">
      <c r="A90" s="498" t="s">
        <v>61</v>
      </c>
      <c r="B90" s="499">
        <v>4</v>
      </c>
      <c r="C90" s="578" t="s">
        <v>62</v>
      </c>
      <c r="D90" s="501" t="s">
        <v>63</v>
      </c>
      <c r="E90" s="502" t="s">
        <v>64</v>
      </c>
      <c r="F90" s="501" t="s">
        <v>63</v>
      </c>
      <c r="G90" s="579" t="s">
        <v>64</v>
      </c>
      <c r="I90" s="504" t="s">
        <v>65</v>
      </c>
    </row>
    <row r="91" spans="1:12" ht="26.25" customHeight="1" x14ac:dyDescent="0.4">
      <c r="A91" s="498" t="s">
        <v>66</v>
      </c>
      <c r="B91" s="499">
        <v>20</v>
      </c>
      <c r="C91" s="580">
        <v>1</v>
      </c>
      <c r="D91" s="506">
        <v>100915805</v>
      </c>
      <c r="E91" s="507">
        <f>IF(ISBLANK(D91),"-",$D$101/$D$98*D91)</f>
        <v>118021484.9666048</v>
      </c>
      <c r="F91" s="506">
        <v>107438913</v>
      </c>
      <c r="G91" s="508">
        <f>IF(ISBLANK(F91),"-",$D$101/$F$98*F91)</f>
        <v>117948217.09102762</v>
      </c>
      <c r="I91" s="509"/>
    </row>
    <row r="92" spans="1:12" ht="26.25" customHeight="1" x14ac:dyDescent="0.4">
      <c r="A92" s="498" t="s">
        <v>67</v>
      </c>
      <c r="B92" s="499">
        <v>1</v>
      </c>
      <c r="C92" s="565">
        <v>2</v>
      </c>
      <c r="D92" s="511">
        <v>100928269</v>
      </c>
      <c r="E92" s="512">
        <f>IF(ISBLANK(D92),"-",$D$101/$D$98*D92)</f>
        <v>118036061.67030966</v>
      </c>
      <c r="F92" s="511">
        <v>107633573</v>
      </c>
      <c r="G92" s="513">
        <f>IF(ISBLANK(F92),"-",$D$101/$F$98*F92)</f>
        <v>118161918.0611681</v>
      </c>
      <c r="I92" s="685">
        <f>ABS((F96/D96*D95)-F95)/D95</f>
        <v>1.5265761023203557E-3</v>
      </c>
    </row>
    <row r="93" spans="1:12" ht="26.25" customHeight="1" x14ac:dyDescent="0.4">
      <c r="A93" s="498" t="s">
        <v>68</v>
      </c>
      <c r="B93" s="499">
        <v>1</v>
      </c>
      <c r="C93" s="565">
        <v>3</v>
      </c>
      <c r="D93" s="511">
        <v>100995596</v>
      </c>
      <c r="E93" s="512">
        <f>IF(ISBLANK(D93),"-",$D$101/$D$98*D93)</f>
        <v>118114800.89771162</v>
      </c>
      <c r="F93" s="511">
        <v>108005059</v>
      </c>
      <c r="G93" s="513">
        <f>IF(ISBLANK(F93),"-",$D$101/$F$98*F93)</f>
        <v>118569741.54104897</v>
      </c>
      <c r="I93" s="685"/>
    </row>
    <row r="94" spans="1:12" ht="27" customHeight="1" x14ac:dyDescent="0.4">
      <c r="A94" s="498" t="s">
        <v>69</v>
      </c>
      <c r="B94" s="499">
        <v>1</v>
      </c>
      <c r="C94" s="581">
        <v>4</v>
      </c>
      <c r="D94" s="516"/>
      <c r="E94" s="517" t="str">
        <f>IF(ISBLANK(D94),"-",$D$101/$D$98*D94)</f>
        <v>-</v>
      </c>
      <c r="F94" s="582"/>
      <c r="G94" s="518" t="str">
        <f>IF(ISBLANK(F94),"-",$D$101/$F$98*F94)</f>
        <v>-</v>
      </c>
      <c r="I94" s="519"/>
    </row>
    <row r="95" spans="1:12" ht="27" customHeight="1" x14ac:dyDescent="0.4">
      <c r="A95" s="498" t="s">
        <v>70</v>
      </c>
      <c r="B95" s="499">
        <v>1</v>
      </c>
      <c r="C95" s="583" t="s">
        <v>71</v>
      </c>
      <c r="D95" s="584">
        <f>AVERAGE(D91:D94)</f>
        <v>100946556.66666667</v>
      </c>
      <c r="E95" s="522">
        <f>AVERAGE(E91:E94)</f>
        <v>118057449.17820869</v>
      </c>
      <c r="F95" s="585">
        <f>AVERAGE(F91:F94)</f>
        <v>107692515</v>
      </c>
      <c r="G95" s="586">
        <f>AVERAGE(G91:G94)</f>
        <v>118226625.5644149</v>
      </c>
    </row>
    <row r="96" spans="1:12" ht="26.25" customHeight="1" x14ac:dyDescent="0.4">
      <c r="A96" s="498" t="s">
        <v>72</v>
      </c>
      <c r="B96" s="484">
        <v>1</v>
      </c>
      <c r="C96" s="587" t="s">
        <v>113</v>
      </c>
      <c r="D96" s="588">
        <v>28.79</v>
      </c>
      <c r="E96" s="514"/>
      <c r="F96" s="526">
        <v>30.67</v>
      </c>
    </row>
    <row r="97" spans="1:10" ht="26.25" customHeight="1" x14ac:dyDescent="0.4">
      <c r="A97" s="498" t="s">
        <v>74</v>
      </c>
      <c r="B97" s="484">
        <v>1</v>
      </c>
      <c r="C97" s="589" t="s">
        <v>114</v>
      </c>
      <c r="D97" s="590">
        <f>D96*$B$87</f>
        <v>28.79</v>
      </c>
      <c r="E97" s="529"/>
      <c r="F97" s="528">
        <f>F96*$B$87</f>
        <v>30.67</v>
      </c>
    </row>
    <row r="98" spans="1:10" ht="19.5" customHeight="1" x14ac:dyDescent="0.3">
      <c r="A98" s="498" t="s">
        <v>76</v>
      </c>
      <c r="B98" s="591">
        <f>(B97/B96)*(B95/B94)*(B93/B92)*(B91/B90)*B89</f>
        <v>100</v>
      </c>
      <c r="C98" s="589" t="s">
        <v>115</v>
      </c>
      <c r="D98" s="592">
        <f>D97*$B$83/100</f>
        <v>28.502099999999999</v>
      </c>
      <c r="E98" s="532"/>
      <c r="F98" s="531">
        <f>F97*$B$83/100</f>
        <v>30.363300000000002</v>
      </c>
    </row>
    <row r="99" spans="1:10" ht="19.5" customHeight="1" x14ac:dyDescent="0.3">
      <c r="A99" s="671" t="s">
        <v>78</v>
      </c>
      <c r="B99" s="686"/>
      <c r="C99" s="589" t="s">
        <v>116</v>
      </c>
      <c r="D99" s="593">
        <f>D98/$B$98</f>
        <v>0.28502099999999997</v>
      </c>
      <c r="E99" s="532"/>
      <c r="F99" s="535">
        <f>F98/$B$98</f>
        <v>0.30363300000000004</v>
      </c>
      <c r="G99" s="594"/>
      <c r="H99" s="524"/>
    </row>
    <row r="100" spans="1:10" ht="19.5" customHeight="1" x14ac:dyDescent="0.3">
      <c r="A100" s="673"/>
      <c r="B100" s="687"/>
      <c r="C100" s="589" t="s">
        <v>80</v>
      </c>
      <c r="D100" s="595">
        <f>$B$56/$B$116</f>
        <v>0.33333333333333331</v>
      </c>
      <c r="F100" s="540"/>
      <c r="G100" s="596"/>
      <c r="H100" s="524"/>
    </row>
    <row r="101" spans="1:10" ht="18.75" x14ac:dyDescent="0.3">
      <c r="C101" s="589" t="s">
        <v>81</v>
      </c>
      <c r="D101" s="590">
        <f>D100*$B$98</f>
        <v>33.333333333333329</v>
      </c>
      <c r="F101" s="540"/>
      <c r="G101" s="594"/>
      <c r="H101" s="524"/>
    </row>
    <row r="102" spans="1:10" ht="19.5" customHeight="1" x14ac:dyDescent="0.3">
      <c r="C102" s="597" t="s">
        <v>82</v>
      </c>
      <c r="D102" s="598">
        <f>D101/B34</f>
        <v>33.333333333333329</v>
      </c>
      <c r="F102" s="544"/>
      <c r="G102" s="594"/>
      <c r="H102" s="524"/>
      <c r="J102" s="599"/>
    </row>
    <row r="103" spans="1:10" ht="18.75" x14ac:dyDescent="0.3">
      <c r="C103" s="600" t="s">
        <v>117</v>
      </c>
      <c r="D103" s="601">
        <f>AVERAGE(E91:E94,G91:G94)</f>
        <v>118142037.3713118</v>
      </c>
      <c r="F103" s="544"/>
      <c r="G103" s="602"/>
      <c r="H103" s="524"/>
      <c r="J103" s="603"/>
    </row>
    <row r="104" spans="1:10" ht="18.75" x14ac:dyDescent="0.3">
      <c r="C104" s="567" t="s">
        <v>84</v>
      </c>
      <c r="D104" s="604">
        <f>STDEV(E91:E94,G91:G94)/D103</f>
        <v>1.8828191028892115E-3</v>
      </c>
      <c r="F104" s="544"/>
      <c r="G104" s="594"/>
      <c r="H104" s="524"/>
      <c r="J104" s="603"/>
    </row>
    <row r="105" spans="1:10" ht="19.5" customHeight="1" x14ac:dyDescent="0.3">
      <c r="C105" s="569" t="s">
        <v>20</v>
      </c>
      <c r="D105" s="605">
        <f>COUNT(E91:E94,G91:G94)</f>
        <v>6</v>
      </c>
      <c r="F105" s="544"/>
      <c r="G105" s="594"/>
      <c r="H105" s="524"/>
      <c r="J105" s="603"/>
    </row>
    <row r="106" spans="1:10" ht="19.5" customHeight="1" x14ac:dyDescent="0.3">
      <c r="A106" s="548"/>
      <c r="B106" s="548"/>
      <c r="C106" s="548"/>
      <c r="D106" s="548"/>
      <c r="E106" s="548"/>
    </row>
    <row r="107" spans="1:10" ht="27" customHeight="1" x14ac:dyDescent="0.4">
      <c r="A107" s="496" t="s">
        <v>118</v>
      </c>
      <c r="B107" s="497">
        <v>900</v>
      </c>
      <c r="C107" s="644" t="s">
        <v>119</v>
      </c>
      <c r="D107" s="644" t="s">
        <v>63</v>
      </c>
      <c r="E107" s="644" t="s">
        <v>120</v>
      </c>
      <c r="F107" s="606" t="s">
        <v>121</v>
      </c>
    </row>
    <row r="108" spans="1:10" ht="26.25" customHeight="1" x14ac:dyDescent="0.4">
      <c r="A108" s="498" t="s">
        <v>122</v>
      </c>
      <c r="B108" s="499">
        <v>1</v>
      </c>
      <c r="C108" s="649">
        <v>1</v>
      </c>
      <c r="D108" s="650">
        <v>109869162</v>
      </c>
      <c r="E108" s="624">
        <f t="shared" ref="E108:E113" si="1">IF(ISBLANK(D108),"-",D108/$D$103*$D$100*$B$116)</f>
        <v>278.99255280664215</v>
      </c>
      <c r="F108" s="651">
        <f t="shared" ref="F108:F113" si="2">IF(ISBLANK(D108), "-", (E108/$B$56)*100)</f>
        <v>92.997517602214046</v>
      </c>
    </row>
    <row r="109" spans="1:10" ht="26.25" customHeight="1" x14ac:dyDescent="0.4">
      <c r="A109" s="498" t="s">
        <v>95</v>
      </c>
      <c r="B109" s="499">
        <v>1</v>
      </c>
      <c r="C109" s="645">
        <v>2</v>
      </c>
      <c r="D109" s="647">
        <v>108338567</v>
      </c>
      <c r="E109" s="625">
        <f t="shared" si="1"/>
        <v>275.10588799014812</v>
      </c>
      <c r="F109" s="652">
        <f t="shared" si="2"/>
        <v>91.701962663382702</v>
      </c>
    </row>
    <row r="110" spans="1:10" ht="26.25" customHeight="1" x14ac:dyDescent="0.4">
      <c r="A110" s="498" t="s">
        <v>96</v>
      </c>
      <c r="B110" s="499">
        <v>1</v>
      </c>
      <c r="C110" s="645">
        <v>3</v>
      </c>
      <c r="D110" s="647">
        <v>109677148</v>
      </c>
      <c r="E110" s="625">
        <f t="shared" si="1"/>
        <v>278.50496852858407</v>
      </c>
      <c r="F110" s="652">
        <f t="shared" si="2"/>
        <v>92.834989509528015</v>
      </c>
    </row>
    <row r="111" spans="1:10" ht="26.25" customHeight="1" x14ac:dyDescent="0.4">
      <c r="A111" s="498" t="s">
        <v>97</v>
      </c>
      <c r="B111" s="499">
        <v>1</v>
      </c>
      <c r="C111" s="645">
        <v>4</v>
      </c>
      <c r="D111" s="647">
        <v>110565503</v>
      </c>
      <c r="E111" s="625">
        <f t="shared" si="1"/>
        <v>280.76078285115574</v>
      </c>
      <c r="F111" s="652">
        <f t="shared" si="2"/>
        <v>93.586927617051913</v>
      </c>
    </row>
    <row r="112" spans="1:10" ht="26.25" customHeight="1" x14ac:dyDescent="0.4">
      <c r="A112" s="498" t="s">
        <v>98</v>
      </c>
      <c r="B112" s="499">
        <v>1</v>
      </c>
      <c r="C112" s="645">
        <v>5</v>
      </c>
      <c r="D112" s="647">
        <v>111158585</v>
      </c>
      <c r="E112" s="625">
        <f t="shared" si="1"/>
        <v>282.26680563490709</v>
      </c>
      <c r="F112" s="652">
        <f t="shared" si="2"/>
        <v>94.0889352116357</v>
      </c>
    </row>
    <row r="113" spans="1:10" ht="27" customHeight="1" x14ac:dyDescent="0.4">
      <c r="A113" s="498" t="s">
        <v>100</v>
      </c>
      <c r="B113" s="499">
        <v>1</v>
      </c>
      <c r="C113" s="646">
        <v>6</v>
      </c>
      <c r="D113" s="648">
        <v>115290103</v>
      </c>
      <c r="E113" s="626">
        <f t="shared" si="1"/>
        <v>292.75803659365954</v>
      </c>
      <c r="F113" s="653">
        <f t="shared" si="2"/>
        <v>97.586012197886518</v>
      </c>
    </row>
    <row r="114" spans="1:10" ht="27" customHeight="1" x14ac:dyDescent="0.4">
      <c r="A114" s="498" t="s">
        <v>101</v>
      </c>
      <c r="B114" s="499">
        <v>1</v>
      </c>
      <c r="C114" s="607"/>
      <c r="D114" s="565"/>
      <c r="E114" s="472"/>
      <c r="F114" s="654"/>
    </row>
    <row r="115" spans="1:10" ht="26.25" customHeight="1" x14ac:dyDescent="0.4">
      <c r="A115" s="498" t="s">
        <v>102</v>
      </c>
      <c r="B115" s="499">
        <v>1</v>
      </c>
      <c r="C115" s="607"/>
      <c r="D115" s="631" t="s">
        <v>71</v>
      </c>
      <c r="E115" s="633">
        <f>AVERAGE(E108:E113)</f>
        <v>281.39817240084949</v>
      </c>
      <c r="F115" s="655">
        <f>AVERAGE(F108:F113)</f>
        <v>93.799390800283149</v>
      </c>
    </row>
    <row r="116" spans="1:10" ht="27" customHeight="1" x14ac:dyDescent="0.4">
      <c r="A116" s="498" t="s">
        <v>103</v>
      </c>
      <c r="B116" s="530">
        <f>(B115/B114)*(B113/B112)*(B111/B110)*(B109/B108)*B107</f>
        <v>900</v>
      </c>
      <c r="C116" s="608"/>
      <c r="D116" s="632" t="s">
        <v>84</v>
      </c>
      <c r="E116" s="630">
        <f>STDEV(E108:E113)/E115</f>
        <v>2.1555237206747898E-2</v>
      </c>
      <c r="F116" s="609">
        <f>STDEV(F108:F113)/F115</f>
        <v>2.1555237206747947E-2</v>
      </c>
      <c r="I116" s="472"/>
    </row>
    <row r="117" spans="1:10" ht="27" customHeight="1" x14ac:dyDescent="0.4">
      <c r="A117" s="671" t="s">
        <v>78</v>
      </c>
      <c r="B117" s="672"/>
      <c r="C117" s="610"/>
      <c r="D117" s="569" t="s">
        <v>20</v>
      </c>
      <c r="E117" s="635">
        <f>COUNT(E108:E113)</f>
        <v>6</v>
      </c>
      <c r="F117" s="636">
        <f>COUNT(F108:F113)</f>
        <v>6</v>
      </c>
      <c r="I117" s="472"/>
      <c r="J117" s="603"/>
    </row>
    <row r="118" spans="1:10" ht="26.25" customHeight="1" x14ac:dyDescent="0.3">
      <c r="A118" s="673"/>
      <c r="B118" s="674"/>
      <c r="C118" s="472"/>
      <c r="D118" s="634"/>
      <c r="E118" s="699" t="s">
        <v>123</v>
      </c>
      <c r="F118" s="700"/>
      <c r="G118" s="472"/>
      <c r="H118" s="472"/>
      <c r="I118" s="472"/>
    </row>
    <row r="119" spans="1:10" ht="25.5" customHeight="1" x14ac:dyDescent="0.4">
      <c r="A119" s="619"/>
      <c r="B119" s="494"/>
      <c r="C119" s="472"/>
      <c r="D119" s="632" t="s">
        <v>124</v>
      </c>
      <c r="E119" s="637">
        <f>MIN(E108:E113)</f>
        <v>275.10588799014812</v>
      </c>
      <c r="F119" s="656">
        <f>MIN(F108:F113)</f>
        <v>91.701962663382702</v>
      </c>
      <c r="G119" s="472"/>
      <c r="H119" s="472"/>
      <c r="I119" s="472"/>
    </row>
    <row r="120" spans="1:10" ht="24" customHeight="1" x14ac:dyDescent="0.4">
      <c r="A120" s="619"/>
      <c r="B120" s="494"/>
      <c r="C120" s="472"/>
      <c r="D120" s="541" t="s">
        <v>125</v>
      </c>
      <c r="E120" s="638">
        <f>MAX(E108:E113)</f>
        <v>292.75803659365954</v>
      </c>
      <c r="F120" s="657">
        <f>MAX(F108:F113)</f>
        <v>97.586012197886518</v>
      </c>
      <c r="G120" s="472"/>
      <c r="H120" s="472"/>
      <c r="I120" s="472"/>
    </row>
    <row r="121" spans="1:10" ht="27" customHeight="1" x14ac:dyDescent="0.3">
      <c r="A121" s="619"/>
      <c r="B121" s="494"/>
      <c r="C121" s="472"/>
      <c r="D121" s="472"/>
      <c r="E121" s="472"/>
      <c r="F121" s="565"/>
      <c r="G121" s="472"/>
      <c r="H121" s="472"/>
      <c r="I121" s="472"/>
    </row>
    <row r="122" spans="1:10" ht="25.5" customHeight="1" x14ac:dyDescent="0.3">
      <c r="A122" s="619"/>
      <c r="B122" s="494"/>
      <c r="C122" s="472"/>
      <c r="D122" s="472"/>
      <c r="E122" s="472"/>
      <c r="F122" s="565"/>
      <c r="G122" s="472"/>
      <c r="H122" s="472"/>
      <c r="I122" s="472"/>
    </row>
    <row r="123" spans="1:10" ht="18.75" x14ac:dyDescent="0.3">
      <c r="A123" s="619"/>
      <c r="B123" s="494"/>
      <c r="C123" s="472"/>
      <c r="D123" s="472"/>
      <c r="E123" s="472"/>
      <c r="F123" s="565"/>
      <c r="G123" s="472"/>
      <c r="H123" s="472"/>
      <c r="I123" s="472"/>
    </row>
    <row r="124" spans="1:10" ht="45.75" customHeight="1" x14ac:dyDescent="0.65">
      <c r="A124" s="482" t="s">
        <v>106</v>
      </c>
      <c r="B124" s="571" t="s">
        <v>126</v>
      </c>
      <c r="C124" s="675" t="str">
        <f>B26</f>
        <v>ZIDOVUDINE</v>
      </c>
      <c r="D124" s="675"/>
      <c r="E124" s="572" t="s">
        <v>127</v>
      </c>
      <c r="F124" s="572"/>
      <c r="G124" s="658">
        <f>F115</f>
        <v>93.799390800283149</v>
      </c>
      <c r="H124" s="472"/>
      <c r="I124" s="472"/>
    </row>
    <row r="125" spans="1:10" ht="45.75" customHeight="1" x14ac:dyDescent="0.65">
      <c r="A125" s="482"/>
      <c r="B125" s="571" t="s">
        <v>128</v>
      </c>
      <c r="C125" s="483" t="s">
        <v>129</v>
      </c>
      <c r="D125" s="658">
        <f>MIN(F108:F113)</f>
        <v>91.701962663382702</v>
      </c>
      <c r="E125" s="583" t="s">
        <v>130</v>
      </c>
      <c r="F125" s="658">
        <f>MAX(F108:F113)</f>
        <v>97.586012197886518</v>
      </c>
      <c r="G125" s="573"/>
      <c r="H125" s="472"/>
      <c r="I125" s="472"/>
    </row>
    <row r="126" spans="1:10" ht="19.5" customHeight="1" x14ac:dyDescent="0.3">
      <c r="A126" s="611"/>
      <c r="B126" s="611"/>
      <c r="C126" s="612"/>
      <c r="D126" s="612"/>
      <c r="E126" s="612"/>
      <c r="F126" s="612"/>
      <c r="G126" s="612"/>
      <c r="H126" s="612"/>
    </row>
    <row r="127" spans="1:10" ht="18.75" x14ac:dyDescent="0.3">
      <c r="B127" s="676" t="s">
        <v>26</v>
      </c>
      <c r="C127" s="676"/>
      <c r="E127" s="578" t="s">
        <v>27</v>
      </c>
      <c r="F127" s="613"/>
      <c r="G127" s="676" t="s">
        <v>28</v>
      </c>
      <c r="H127" s="676"/>
    </row>
    <row r="128" spans="1:10" ht="69.95" customHeight="1" x14ac:dyDescent="0.3">
      <c r="A128" s="614" t="s">
        <v>29</v>
      </c>
      <c r="B128" s="615"/>
      <c r="C128" s="615"/>
      <c r="E128" s="615"/>
      <c r="F128" s="472"/>
      <c r="G128" s="616"/>
      <c r="H128" s="616"/>
    </row>
    <row r="129" spans="1:9" ht="69.95" customHeight="1" x14ac:dyDescent="0.3">
      <c r="A129" s="614" t="s">
        <v>30</v>
      </c>
      <c r="B129" s="617"/>
      <c r="C129" s="617"/>
      <c r="E129" s="617"/>
      <c r="F129" s="472"/>
      <c r="G129" s="618"/>
      <c r="H129" s="618"/>
    </row>
    <row r="130" spans="1:9" ht="18.75" x14ac:dyDescent="0.3">
      <c r="A130" s="564"/>
      <c r="B130" s="564"/>
      <c r="C130" s="565"/>
      <c r="D130" s="565"/>
      <c r="E130" s="565"/>
      <c r="F130" s="568"/>
      <c r="G130" s="565"/>
      <c r="H130" s="565"/>
      <c r="I130" s="472"/>
    </row>
    <row r="131" spans="1:9" ht="18.75" x14ac:dyDescent="0.3">
      <c r="A131" s="564"/>
      <c r="B131" s="564"/>
      <c r="C131" s="565"/>
      <c r="D131" s="565"/>
      <c r="E131" s="565"/>
      <c r="F131" s="568"/>
      <c r="G131" s="565"/>
      <c r="H131" s="565"/>
      <c r="I131" s="472"/>
    </row>
    <row r="132" spans="1:9" ht="18.75" x14ac:dyDescent="0.3">
      <c r="A132" s="564"/>
      <c r="B132" s="564"/>
      <c r="C132" s="565"/>
      <c r="D132" s="565"/>
      <c r="E132" s="565"/>
      <c r="F132" s="568"/>
      <c r="G132" s="565"/>
      <c r="H132" s="565"/>
      <c r="I132" s="472"/>
    </row>
    <row r="133" spans="1:9" ht="18.75" x14ac:dyDescent="0.3">
      <c r="A133" s="564"/>
      <c r="B133" s="564"/>
      <c r="C133" s="565"/>
      <c r="D133" s="565"/>
      <c r="E133" s="565"/>
      <c r="F133" s="568"/>
      <c r="G133" s="565"/>
      <c r="H133" s="565"/>
      <c r="I133" s="472"/>
    </row>
    <row r="134" spans="1:9" ht="18.75" x14ac:dyDescent="0.3">
      <c r="A134" s="564"/>
      <c r="B134" s="564"/>
      <c r="C134" s="565"/>
      <c r="D134" s="565"/>
      <c r="E134" s="565"/>
      <c r="F134" s="568"/>
      <c r="G134" s="565"/>
      <c r="H134" s="565"/>
      <c r="I134" s="472"/>
    </row>
    <row r="135" spans="1:9" ht="18.75" x14ac:dyDescent="0.3">
      <c r="A135" s="564"/>
      <c r="B135" s="564"/>
      <c r="C135" s="565"/>
      <c r="D135" s="565"/>
      <c r="E135" s="565"/>
      <c r="F135" s="568"/>
      <c r="G135" s="565"/>
      <c r="H135" s="565"/>
      <c r="I135" s="472"/>
    </row>
    <row r="136" spans="1:9" ht="18.75" x14ac:dyDescent="0.3">
      <c r="A136" s="564"/>
      <c r="B136" s="564"/>
      <c r="C136" s="565"/>
      <c r="D136" s="565"/>
      <c r="E136" s="565"/>
      <c r="F136" s="568"/>
      <c r="G136" s="565"/>
      <c r="H136" s="565"/>
      <c r="I136" s="472"/>
    </row>
    <row r="137" spans="1:9" ht="18.75" x14ac:dyDescent="0.3">
      <c r="A137" s="564"/>
      <c r="B137" s="564"/>
      <c r="C137" s="565"/>
      <c r="D137" s="565"/>
      <c r="E137" s="565"/>
      <c r="F137" s="568"/>
      <c r="G137" s="565"/>
      <c r="H137" s="565"/>
      <c r="I137" s="472"/>
    </row>
    <row r="138" spans="1:9" ht="18.75" x14ac:dyDescent="0.3">
      <c r="A138" s="564"/>
      <c r="B138" s="564"/>
      <c r="C138" s="565"/>
      <c r="D138" s="565"/>
      <c r="E138" s="565"/>
      <c r="F138" s="568"/>
      <c r="G138" s="565"/>
      <c r="H138" s="565"/>
      <c r="I138" s="47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LAM</vt:lpstr>
      <vt:lpstr>SST ZID</vt:lpstr>
      <vt:lpstr>SST NEV</vt:lpstr>
      <vt:lpstr>Uniformity</vt:lpstr>
      <vt:lpstr>Lamivudine</vt:lpstr>
      <vt:lpstr>Nevirapine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Lorna</cp:lastModifiedBy>
  <cp:lastPrinted>2017-04-10T09:09:54Z</cp:lastPrinted>
  <dcterms:created xsi:type="dcterms:W3CDTF">2005-07-05T10:19:27Z</dcterms:created>
  <dcterms:modified xsi:type="dcterms:W3CDTF">2017-04-10T09:10:04Z</dcterms:modified>
</cp:coreProperties>
</file>