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20730" windowHeight="11685" activeTab="2"/>
  </bookViews>
  <sheets>
    <sheet name="Uniformity" sheetId="2" r:id="rId1"/>
    <sheet name="trimethoprim" sheetId="3" r:id="rId2"/>
    <sheet name="sulfamethoxazole" sheetId="4" r:id="rId3"/>
  </sheets>
  <definedNames>
    <definedName name="_xlnm.Print_Area" localSheetId="2">sulfamethoxazole!$A$1:$I$131</definedName>
    <definedName name="_xlnm.Print_Area" localSheetId="1">trimethoprim!$A$1:$I$130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F92" i="3" l="1"/>
  <c r="F93" i="3"/>
  <c r="F91" i="3"/>
  <c r="D92" i="3"/>
  <c r="D93" i="3"/>
  <c r="D91" i="3"/>
  <c r="B57" i="4" l="1"/>
  <c r="F96" i="4" l="1"/>
  <c r="D96" i="4"/>
  <c r="D68" i="4"/>
  <c r="D64" i="4"/>
  <c r="D60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49" i="2"/>
  <c r="C46" i="2"/>
  <c r="D36" i="2" s="1"/>
  <c r="C45" i="2"/>
  <c r="D43" i="2"/>
  <c r="D38" i="2"/>
  <c r="D37" i="2"/>
  <c r="D30" i="2"/>
  <c r="D26" i="2"/>
  <c r="D24" i="2"/>
  <c r="C19" i="2"/>
  <c r="D32" i="2" l="1"/>
  <c r="D50" i="2"/>
  <c r="D27" i="2"/>
  <c r="D34" i="2"/>
  <c r="D40" i="2"/>
  <c r="D29" i="2"/>
  <c r="D35" i="2"/>
  <c r="D42" i="2"/>
  <c r="B49" i="2"/>
  <c r="B69" i="4"/>
  <c r="B57" i="3"/>
  <c r="B69" i="3" s="1"/>
  <c r="I92" i="4"/>
  <c r="D101" i="4"/>
  <c r="D102" i="4" s="1"/>
  <c r="D97" i="4"/>
  <c r="D98" i="4" s="1"/>
  <c r="D99" i="4" s="1"/>
  <c r="D101" i="3"/>
  <c r="F97" i="3"/>
  <c r="F98" i="3" s="1"/>
  <c r="F99" i="3" s="1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 s="1"/>
  <c r="G41" i="3" s="1"/>
  <c r="D45" i="3"/>
  <c r="E39" i="3" s="1"/>
  <c r="G39" i="4"/>
  <c r="G94" i="3"/>
  <c r="D102" i="3"/>
  <c r="G91" i="4"/>
  <c r="G94" i="4"/>
  <c r="E94" i="4"/>
  <c r="G93" i="4"/>
  <c r="E41" i="4"/>
  <c r="D31" i="2"/>
  <c r="D39" i="2"/>
  <c r="C49" i="2"/>
  <c r="G41" i="4"/>
  <c r="D25" i="2"/>
  <c r="D33" i="2"/>
  <c r="D41" i="2"/>
  <c r="C50" i="2"/>
  <c r="D28" i="2"/>
  <c r="D44" i="4"/>
  <c r="D45" i="4" s="1"/>
  <c r="D46" i="4" s="1"/>
  <c r="D49" i="4"/>
  <c r="E92" i="4" l="1"/>
  <c r="G92" i="3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G69" i="3"/>
  <c r="H69" i="3" s="1"/>
  <c r="D50" i="4"/>
  <c r="E42" i="4"/>
  <c r="D52" i="4"/>
  <c r="E109" i="3" l="1"/>
  <c r="F109" i="3" s="1"/>
  <c r="E111" i="3"/>
  <c r="F111" i="3" s="1"/>
  <c r="E113" i="3"/>
  <c r="F113" i="3" s="1"/>
  <c r="E108" i="3"/>
  <c r="G66" i="3"/>
  <c r="H66" i="3" s="1"/>
  <c r="D104" i="4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<sst xmlns="http://schemas.openxmlformats.org/spreadsheetml/2006/main" count="358" uniqueCount="120">
  <si>
    <t>Analysis Data</t>
  </si>
  <si>
    <t>Reference Substance:</t>
  </si>
  <si>
    <t>CO-TRIMOXAZOLE TABLETS</t>
  </si>
  <si>
    <t>% age Purity:</t>
  </si>
  <si>
    <t>NDQB201701327</t>
  </si>
  <si>
    <t>Sulfamethoxazole BP 800 MG &amp; Trimethoprim BP 160 MG</t>
  </si>
  <si>
    <t>Each tablet contains Sulfamethoxazole 800 mg and Trimethoprim 160 mg</t>
  </si>
  <si>
    <t>2017-01-26 07:20:42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</si>
  <si>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</si>
  <si>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</si>
  <si>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</si>
  <si>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</si>
  <si>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</si>
  <si>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</si>
  <si>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</si>
  <si>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</si>
  <si>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</si>
  <si>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</si>
  <si>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</si>
  <si>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</si>
  <si>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</si>
  <si>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</si>
  <si>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</si>
  <si>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</si>
  <si>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</si>
  <si>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</si>
  <si>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</si>
  <si>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</si>
  <si>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</si>
  <si>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</si>
  <si>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</si>
  <si>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</si>
  <si>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</si>
  <si>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</si>
  <si>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</si>
  <si>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</si>
  <si>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</si>
  <si>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</si>
  <si>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</si>
  <si>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</si>
  <si>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</si>
  <si>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</si>
  <si>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</si>
  <si>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</si>
  <si>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</si>
  <si>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</si>
  <si>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</si>
  <si>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</si>
  <si>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</si>
  <si>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</si>
  <si>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</si>
  <si>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</si>
  <si>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</si>
  <si>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</si>
  <si>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</si>
  <si>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</si>
  <si>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</si>
  <si>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</si>
  <si>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</si>
  <si>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</si>
  <si>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</si>
  <si>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</si>
  <si>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</si>
  <si>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</si>
  <si>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</si>
  <si>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</si>
  <si>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</si>
  <si>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</si>
  <si>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</si>
  <si>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</si>
  <si>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</si>
  <si>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</si>
  <si>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</si>
  <si>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</si>
  <si>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</si>
  <si>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</si>
  <si>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</si>
  <si>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</si>
  <si>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</si>
  <si>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</si>
  <si>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</si>
  <si>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</si>
  <si>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</si>
  <si>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</si>
  <si>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</si>
  <si>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</si>
  <si>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</si>
  <si>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</si>
  <si>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</si>
  <si>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</si>
  <si>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</si>
  <si>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</si>
  <si>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</si>
  <si>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</si>
  <si>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</si>
  <si>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</si>
  <si>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</si>
  <si>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</si>
  <si>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NDQE201607028</t>
  </si>
  <si>
    <t>Sulfamethoxazole</t>
  </si>
  <si>
    <t>Each tablet contains  Trimethoprim 160 mg</t>
  </si>
  <si>
    <t>Trimethoprim BP</t>
  </si>
  <si>
    <t>NQCL-NQCL-T7-4</t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</si>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</sst>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FF0000"/>
      <name val="Book Antiqua"/>
      <family val="1"/>
    </font>
    <font>
      <sz val="10"/>
      <color rgb="FFFF0000"/>
      <name val="Arial"/>
      <family val="2"/>
    </font>
    <font>
      <b/>
      <sz val="52"/>
      <color rgb="FFFF0000"/>
      <name val="Book Antiqua"/>
      <family val="1"/>
    </font>
    <font>
      <sz val="14"/>
      <color rgb="FFFF0000"/>
      <name val="Book Antiqua"/>
      <family val="1"/>
    </font>
    <font>
      <b/>
      <i/>
      <sz val="14"/>
      <color rgb="FFFF0000"/>
      <name val="Book Antiqua"/>
      <family val="1"/>
    </font>
    <font>
      <b/>
      <u/>
      <sz val="16"/>
      <color rgb="FFFF0000"/>
      <name val="Book Antiqua"/>
      <family val="1"/>
    </font>
    <font>
      <b/>
      <sz val="14"/>
      <color rgb="FFFF0000"/>
      <name val="Book Antiqua"/>
      <family val="1"/>
    </font>
    <font>
      <b/>
      <sz val="20"/>
      <color rgb="FFFF0000"/>
      <name val="Book Antiqua"/>
      <family val="1"/>
    </font>
    <font>
      <sz val="20"/>
      <color rgb="FFFF0000"/>
      <name val="Book Antiqua"/>
      <family val="1"/>
    </font>
    <font>
      <b/>
      <u/>
      <sz val="14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4"/>
      <color rgb="FFFF0000"/>
      <name val="Calibri"/>
      <family val="2"/>
    </font>
    <font>
      <i/>
      <sz val="14"/>
      <color rgb="FFFF0000"/>
      <name val="Arial"/>
      <family val="2"/>
    </font>
    <font>
      <i/>
      <sz val="14"/>
      <color rgb="FFFF0000"/>
      <name val="Book Antiqua"/>
      <family val="1"/>
    </font>
    <font>
      <sz val="14"/>
      <color rgb="FFFF0000"/>
      <name val="Arial"/>
      <family val="2"/>
    </font>
    <font>
      <vertAlign val="superscript"/>
      <sz val="14"/>
      <color rgb="FFFF0000"/>
      <name val="Book Antiqua"/>
      <family val="1"/>
    </font>
    <font>
      <b/>
      <sz val="36"/>
      <color rgb="FFFF0000"/>
      <name val="Book Antiqua"/>
      <family val="1"/>
    </font>
    <font>
      <b/>
      <sz val="72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3" xfId="0" applyFont="1" applyFill="1" applyBorder="1"/>
    <xf numFmtId="0" fontId="5" fillId="2" borderId="0" xfId="0" applyFont="1" applyFill="1" applyAlignment="1">
      <alignment horizontal="center"/>
    </xf>
    <xf numFmtId="10" fontId="5" fillId="2" borderId="3" xfId="0" applyNumberFormat="1" applyFont="1" applyFill="1" applyBorder="1"/>
    <xf numFmtId="0" fontId="7" fillId="2" borderId="0" xfId="0" applyFont="1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0" fontId="5" fillId="2" borderId="5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166" fontId="5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wrapText="1"/>
    </xf>
    <xf numFmtId="164" fontId="4" fillId="2" borderId="6" xfId="0" applyNumberFormat="1" applyFont="1" applyFill="1" applyBorder="1" applyAlignment="1">
      <alignment horizontal="center" wrapText="1"/>
    </xf>
    <xf numFmtId="10" fontId="5" fillId="2" borderId="7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2" fontId="5" fillId="3" borderId="8" xfId="0" applyNumberFormat="1" applyFont="1" applyFill="1" applyBorder="1" applyProtection="1">
      <protection locked="0"/>
    </xf>
    <xf numFmtId="2" fontId="5" fillId="3" borderId="9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horizontal="center" vertical="center"/>
    </xf>
    <xf numFmtId="0" fontId="13" fillId="2" borderId="0" xfId="0" applyFont="1" applyFill="1"/>
    <xf numFmtId="0" fontId="14" fillId="2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6" fillId="2" borderId="0" xfId="0" applyFont="1" applyFill="1"/>
    <xf numFmtId="0" fontId="17" fillId="3" borderId="0" xfId="0" applyFont="1" applyFill="1" applyAlignment="1" applyProtection="1">
      <alignment horizontal="left" wrapText="1"/>
      <protection locked="0"/>
    </xf>
    <xf numFmtId="0" fontId="17" fillId="2" borderId="0" xfId="0" applyFont="1" applyFill="1" applyAlignment="1" applyProtection="1">
      <alignment horizontal="righ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Protection="1"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169" fontId="13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4" fillId="2" borderId="12" xfId="0" applyFont="1" applyFill="1" applyBorder="1" applyAlignment="1">
      <alignment horizontal="justify" vertical="center" wrapText="1"/>
    </xf>
    <xf numFmtId="0" fontId="14" fillId="2" borderId="13" xfId="0" applyFont="1" applyFill="1" applyBorder="1" applyAlignment="1">
      <alignment horizontal="justify" vertical="center" wrapText="1"/>
    </xf>
    <xf numFmtId="0" fontId="14" fillId="2" borderId="14" xfId="0" applyFont="1" applyFill="1" applyBorder="1" applyAlignment="1">
      <alignment horizontal="justify" vertical="center" wrapText="1"/>
    </xf>
    <xf numFmtId="0" fontId="20" fillId="2" borderId="1" xfId="0" applyFont="1" applyFill="1" applyBorder="1" applyAlignment="1">
      <alignment horizontal="center"/>
    </xf>
    <xf numFmtId="0" fontId="21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14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vertical="center" wrapText="1"/>
    </xf>
    <xf numFmtId="0" fontId="24" fillId="2" borderId="0" xfId="0" applyFont="1" applyFill="1"/>
    <xf numFmtId="2" fontId="16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0" fontId="16" fillId="2" borderId="0" xfId="0" applyNumberFormat="1" applyFont="1" applyFill="1" applyAlignment="1">
      <alignment horizontal="center"/>
    </xf>
    <xf numFmtId="0" fontId="13" fillId="2" borderId="15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6" fillId="2" borderId="41" xfId="0" applyFont="1" applyFill="1" applyBorder="1" applyAlignment="1">
      <alignment horizontal="center"/>
    </xf>
    <xf numFmtId="0" fontId="16" fillId="2" borderId="34" xfId="0" applyFont="1" applyFill="1" applyBorder="1" applyAlignment="1">
      <alignment horizontal="center"/>
    </xf>
    <xf numFmtId="0" fontId="16" fillId="2" borderId="49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7" fillId="3" borderId="18" xfId="0" applyFont="1" applyFill="1" applyBorder="1" applyAlignment="1" applyProtection="1">
      <alignment horizontal="center"/>
      <protection locked="0"/>
    </xf>
    <xf numFmtId="0" fontId="16" fillId="2" borderId="16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7" fillId="3" borderId="23" xfId="0" applyFont="1" applyFill="1" applyBorder="1" applyAlignment="1" applyProtection="1">
      <alignment horizontal="center"/>
      <protection locked="0"/>
    </xf>
    <xf numFmtId="171" fontId="13" fillId="2" borderId="20" xfId="0" applyNumberFormat="1" applyFont="1" applyFill="1" applyBorder="1" applyAlignment="1">
      <alignment horizontal="center"/>
    </xf>
    <xf numFmtId="171" fontId="13" fillId="2" borderId="24" xfId="0" applyNumberFormat="1" applyFont="1" applyFill="1" applyBorder="1" applyAlignment="1">
      <alignment horizontal="center"/>
    </xf>
    <xf numFmtId="0" fontId="24" fillId="2" borderId="7" xfId="0" applyFont="1" applyFill="1" applyBorder="1"/>
    <xf numFmtId="0" fontId="13" fillId="2" borderId="18" xfId="0" applyFont="1" applyFill="1" applyBorder="1" applyAlignment="1">
      <alignment horizontal="center"/>
    </xf>
    <xf numFmtId="0" fontId="17" fillId="3" borderId="17" xfId="0" applyFont="1" applyFill="1" applyBorder="1" applyAlignment="1" applyProtection="1">
      <alignment horizontal="center"/>
      <protection locked="0"/>
    </xf>
    <xf numFmtId="171" fontId="13" fillId="2" borderId="25" xfId="0" applyNumberFormat="1" applyFont="1" applyFill="1" applyBorder="1" applyAlignment="1">
      <alignment horizontal="center"/>
    </xf>
    <xf numFmtId="171" fontId="13" fillId="2" borderId="26" xfId="0" applyNumberFormat="1" applyFont="1" applyFill="1" applyBorder="1" applyAlignment="1">
      <alignment horizontal="center"/>
    </xf>
    <xf numFmtId="10" fontId="21" fillId="2" borderId="8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/>
    </xf>
    <xf numFmtId="0" fontId="17" fillId="3" borderId="28" xfId="0" applyFont="1" applyFill="1" applyBorder="1" applyAlignment="1" applyProtection="1">
      <alignment horizontal="center"/>
      <protection locked="0"/>
    </xf>
    <xf numFmtId="171" fontId="13" fillId="2" borderId="29" xfId="0" applyNumberFormat="1" applyFont="1" applyFill="1" applyBorder="1" applyAlignment="1">
      <alignment horizontal="center"/>
    </xf>
    <xf numFmtId="171" fontId="13" fillId="2" borderId="30" xfId="0" applyNumberFormat="1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18" xfId="0" applyFont="1" applyFill="1" applyBorder="1" applyAlignment="1">
      <alignment horizontal="right"/>
    </xf>
    <xf numFmtId="1" fontId="16" fillId="4" borderId="31" xfId="0" applyNumberFormat="1" applyFont="1" applyFill="1" applyBorder="1" applyAlignment="1">
      <alignment horizontal="center"/>
    </xf>
    <xf numFmtId="171" fontId="16" fillId="4" borderId="32" xfId="0" applyNumberFormat="1" applyFont="1" applyFill="1" applyBorder="1" applyAlignment="1">
      <alignment horizontal="center"/>
    </xf>
    <xf numFmtId="171" fontId="16" fillId="4" borderId="3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3" fillId="2" borderId="34" xfId="0" applyFont="1" applyFill="1" applyBorder="1" applyAlignment="1">
      <alignment horizontal="right"/>
    </xf>
    <xf numFmtId="0" fontId="17" fillId="3" borderId="10" xfId="0" applyFont="1" applyFill="1" applyBorder="1" applyAlignment="1" applyProtection="1">
      <alignment horizontal="center"/>
      <protection locked="0"/>
    </xf>
    <xf numFmtId="0" fontId="13" fillId="2" borderId="5" xfId="0" applyFont="1" applyFill="1" applyBorder="1" applyAlignment="1">
      <alignment horizontal="right"/>
    </xf>
    <xf numFmtId="2" fontId="13" fillId="4" borderId="3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5" borderId="35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4" fillId="2" borderId="15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166" fontId="13" fillId="4" borderId="35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166" fontId="13" fillId="4" borderId="11" xfId="0" applyNumberFormat="1" applyFont="1" applyFill="1" applyBorder="1" applyAlignment="1">
      <alignment horizontal="center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3" fillId="2" borderId="36" xfId="0" applyFont="1" applyFill="1" applyBorder="1" applyAlignment="1">
      <alignment horizontal="right"/>
    </xf>
    <xf numFmtId="166" fontId="17" fillId="3" borderId="35" xfId="0" applyNumberFormat="1" applyFont="1" applyFill="1" applyBorder="1" applyAlignment="1" applyProtection="1">
      <alignment horizontal="center"/>
      <protection locked="0"/>
    </xf>
    <xf numFmtId="166" fontId="13" fillId="2" borderId="0" xfId="0" applyNumberFormat="1" applyFont="1" applyFill="1"/>
    <xf numFmtId="0" fontId="13" fillId="2" borderId="23" xfId="0" applyFont="1" applyFill="1" applyBorder="1" applyAlignment="1">
      <alignment horizontal="right"/>
    </xf>
    <xf numFmtId="1" fontId="13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/>
    </xf>
    <xf numFmtId="2" fontId="13" fillId="4" borderId="9" xfId="0" applyNumberFormat="1" applyFont="1" applyFill="1" applyBorder="1" applyAlignment="1">
      <alignment horizontal="center"/>
    </xf>
    <xf numFmtId="171" fontId="16" fillId="5" borderId="7" xfId="0" applyNumberFormat="1" applyFont="1" applyFill="1" applyBorder="1" applyAlignment="1">
      <alignment horizontal="center"/>
    </xf>
    <xf numFmtId="171" fontId="13" fillId="2" borderId="0" xfId="0" applyNumberFormat="1" applyFont="1" applyFill="1" applyAlignment="1">
      <alignment horizontal="center"/>
    </xf>
    <xf numFmtId="10" fontId="13" fillId="4" borderId="35" xfId="0" applyNumberFormat="1" applyFont="1" applyFill="1" applyBorder="1" applyAlignment="1">
      <alignment horizontal="center"/>
    </xf>
    <xf numFmtId="0" fontId="13" fillId="2" borderId="37" xfId="0" applyFont="1" applyFill="1" applyBorder="1" applyAlignment="1">
      <alignment horizontal="right"/>
    </xf>
    <xf numFmtId="0" fontId="13" fillId="5" borderId="9" xfId="0" applyFont="1" applyFill="1" applyBorder="1" applyAlignment="1">
      <alignment horizontal="center"/>
    </xf>
    <xf numFmtId="0" fontId="19" fillId="2" borderId="0" xfId="0" applyFont="1" applyFill="1"/>
    <xf numFmtId="0" fontId="16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166" fontId="16" fillId="2" borderId="0" xfId="0" applyNumberFormat="1" applyFont="1" applyFill="1" applyAlignment="1" applyProtection="1">
      <alignment horizontal="center"/>
      <protection locked="0"/>
    </xf>
    <xf numFmtId="2" fontId="16" fillId="2" borderId="7" xfId="0" applyNumberFormat="1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2" fontId="17" fillId="3" borderId="7" xfId="0" applyNumberFormat="1" applyFont="1" applyFill="1" applyBorder="1" applyAlignment="1" applyProtection="1">
      <alignment horizontal="center" vertical="center"/>
      <protection locked="0"/>
    </xf>
    <xf numFmtId="0" fontId="13" fillId="2" borderId="7" xfId="0" applyFont="1" applyFill="1" applyBorder="1" applyAlignment="1">
      <alignment horizontal="center"/>
    </xf>
    <xf numFmtId="0" fontId="17" fillId="3" borderId="15" xfId="0" applyFont="1" applyFill="1" applyBorder="1" applyAlignment="1" applyProtection="1">
      <alignment horizontal="center"/>
      <protection locked="0"/>
    </xf>
    <xf numFmtId="166" fontId="13" fillId="2" borderId="15" xfId="0" applyNumberFormat="1" applyFont="1" applyFill="1" applyBorder="1" applyAlignment="1">
      <alignment horizontal="center"/>
    </xf>
    <xf numFmtId="173" fontId="13" fillId="2" borderId="7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2" fontId="17" fillId="3" borderId="8" xfId="0" applyNumberFormat="1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>
      <alignment horizontal="center"/>
    </xf>
    <xf numFmtId="166" fontId="13" fillId="2" borderId="17" xfId="0" applyNumberFormat="1" applyFont="1" applyFill="1" applyBorder="1" applyAlignment="1">
      <alignment horizontal="center"/>
    </xf>
    <xf numFmtId="173" fontId="13" fillId="2" borderId="8" xfId="0" applyNumberFormat="1" applyFont="1" applyFill="1" applyBorder="1" applyAlignment="1">
      <alignment horizontal="center" vertical="center"/>
    </xf>
    <xf numFmtId="1" fontId="17" fillId="3" borderId="17" xfId="0" applyNumberFormat="1" applyFont="1" applyFill="1" applyBorder="1" applyAlignment="1" applyProtection="1">
      <alignment horizontal="center"/>
      <protection locked="0"/>
    </xf>
    <xf numFmtId="0" fontId="16" fillId="2" borderId="3" xfId="0" applyFont="1" applyFill="1" applyBorder="1" applyAlignment="1">
      <alignment horizontal="center" vertical="center"/>
    </xf>
    <xf numFmtId="2" fontId="17" fillId="3" borderId="9" xfId="0" applyNumberFormat="1" applyFont="1" applyFill="1" applyBorder="1" applyAlignment="1" applyProtection="1">
      <alignment horizontal="center" vertical="center"/>
      <protection locked="0"/>
    </xf>
    <xf numFmtId="0" fontId="13" fillId="2" borderId="9" xfId="0" applyFont="1" applyFill="1" applyBorder="1" applyAlignment="1">
      <alignment horizontal="center"/>
    </xf>
    <xf numFmtId="0" fontId="17" fillId="3" borderId="37" xfId="0" applyFont="1" applyFill="1" applyBorder="1" applyAlignment="1" applyProtection="1">
      <alignment horizontal="center"/>
      <protection locked="0"/>
    </xf>
    <xf numFmtId="166" fontId="13" fillId="2" borderId="37" xfId="0" applyNumberFormat="1" applyFont="1" applyFill="1" applyBorder="1" applyAlignment="1">
      <alignment horizontal="center"/>
    </xf>
    <xf numFmtId="173" fontId="13" fillId="2" borderId="9" xfId="0" applyNumberFormat="1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2" fontId="18" fillId="2" borderId="38" xfId="0" applyNumberFormat="1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right"/>
    </xf>
    <xf numFmtId="2" fontId="17" fillId="5" borderId="27" xfId="0" applyNumberFormat="1" applyFont="1" applyFill="1" applyBorder="1" applyAlignment="1">
      <alignment horizontal="center"/>
    </xf>
    <xf numFmtId="173" fontId="17" fillId="5" borderId="27" xfId="0" applyNumberFormat="1" applyFont="1" applyFill="1" applyBorder="1" applyAlignment="1">
      <alignment horizontal="center"/>
    </xf>
    <xf numFmtId="0" fontId="13" fillId="2" borderId="35" xfId="0" applyFont="1" applyFill="1" applyBorder="1" applyAlignment="1">
      <alignment horizontal="right"/>
    </xf>
    <xf numFmtId="10" fontId="17" fillId="4" borderId="48" xfId="0" applyNumberFormat="1" applyFont="1" applyFill="1" applyBorder="1" applyAlignment="1">
      <alignment horizontal="center"/>
    </xf>
    <xf numFmtId="0" fontId="13" fillId="2" borderId="11" xfId="0" applyFont="1" applyFill="1" applyBorder="1" applyAlignment="1">
      <alignment horizontal="right"/>
    </xf>
    <xf numFmtId="0" fontId="17" fillId="5" borderId="40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0" fontId="16" fillId="2" borderId="41" xfId="0" applyFont="1" applyFill="1" applyBorder="1" applyAlignment="1">
      <alignment horizontal="center"/>
    </xf>
    <xf numFmtId="0" fontId="16" fillId="2" borderId="34" xfId="0" applyFont="1" applyFill="1" applyBorder="1" applyAlignment="1">
      <alignment horizontal="center"/>
    </xf>
    <xf numFmtId="0" fontId="17" fillId="3" borderId="0" xfId="0" applyFont="1" applyFill="1" applyBorder="1" applyAlignment="1" applyProtection="1">
      <alignment horizontal="center"/>
      <protection locked="0"/>
    </xf>
    <xf numFmtId="0" fontId="16" fillId="2" borderId="51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center"/>
    </xf>
    <xf numFmtId="0" fontId="16" fillId="2" borderId="47" xfId="0" applyFont="1" applyFill="1" applyBorder="1" applyAlignment="1">
      <alignment horizontal="center"/>
    </xf>
    <xf numFmtId="0" fontId="16" fillId="2" borderId="24" xfId="0" applyFont="1" applyFill="1" applyBorder="1" applyAlignment="1">
      <alignment horizontal="center"/>
    </xf>
    <xf numFmtId="0" fontId="13" fillId="2" borderId="60" xfId="0" applyFont="1" applyFill="1" applyBorder="1" applyAlignment="1">
      <alignment horizontal="center"/>
    </xf>
    <xf numFmtId="0" fontId="17" fillId="3" borderId="55" xfId="0" applyFont="1" applyFill="1" applyBorder="1" applyAlignment="1" applyProtection="1">
      <alignment horizontal="center"/>
      <protection locked="0"/>
    </xf>
    <xf numFmtId="171" fontId="13" fillId="2" borderId="42" xfId="0" applyNumberFormat="1" applyFont="1" applyFill="1" applyBorder="1" applyAlignment="1">
      <alignment horizontal="center"/>
    </xf>
    <xf numFmtId="0" fontId="17" fillId="3" borderId="51" xfId="0" applyFont="1" applyFill="1" applyBorder="1" applyAlignment="1" applyProtection="1">
      <alignment horizontal="center"/>
      <protection locked="0"/>
    </xf>
    <xf numFmtId="171" fontId="13" fillId="2" borderId="22" xfId="0" applyNumberFormat="1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0" fontId="17" fillId="3" borderId="56" xfId="0" applyFont="1" applyFill="1" applyBorder="1" applyAlignment="1" applyProtection="1">
      <alignment horizontal="center"/>
      <protection locked="0"/>
    </xf>
    <xf numFmtId="171" fontId="13" fillId="2" borderId="0" xfId="0" applyNumberFormat="1" applyFont="1" applyFill="1" applyBorder="1" applyAlignment="1">
      <alignment horizontal="center"/>
    </xf>
    <xf numFmtId="0" fontId="17" fillId="3" borderId="52" xfId="0" applyFont="1" applyFill="1" applyBorder="1" applyAlignment="1" applyProtection="1">
      <alignment horizontal="center"/>
      <protection locked="0"/>
    </xf>
    <xf numFmtId="171" fontId="13" fillId="2" borderId="18" xfId="0" applyNumberFormat="1" applyFont="1" applyFill="1" applyBorder="1" applyAlignment="1">
      <alignment horizontal="center"/>
    </xf>
    <xf numFmtId="0" fontId="13" fillId="2" borderId="61" xfId="0" applyFont="1" applyFill="1" applyBorder="1" applyAlignment="1">
      <alignment horizontal="center"/>
    </xf>
    <xf numFmtId="0" fontId="17" fillId="3" borderId="57" xfId="0" applyFont="1" applyFill="1" applyBorder="1" applyAlignment="1" applyProtection="1">
      <alignment horizontal="center"/>
      <protection locked="0"/>
    </xf>
    <xf numFmtId="171" fontId="13" fillId="2" borderId="2" xfId="0" applyNumberFormat="1" applyFont="1" applyFill="1" applyBorder="1" applyAlignment="1">
      <alignment horizontal="center"/>
    </xf>
    <xf numFmtId="0" fontId="17" fillId="3" borderId="53" xfId="0" applyFont="1" applyFill="1" applyBorder="1" applyAlignment="1" applyProtection="1">
      <alignment horizontal="center"/>
      <protection locked="0"/>
    </xf>
    <xf numFmtId="171" fontId="13" fillId="2" borderId="27" xfId="0" applyNumberFormat="1" applyFont="1" applyFill="1" applyBorder="1" applyAlignment="1">
      <alignment horizontal="center"/>
    </xf>
    <xf numFmtId="0" fontId="13" fillId="2" borderId="53" xfId="0" applyFont="1" applyFill="1" applyBorder="1" applyAlignment="1">
      <alignment horizontal="right"/>
    </xf>
    <xf numFmtId="1" fontId="16" fillId="4" borderId="58" xfId="0" applyNumberFormat="1" applyFont="1" applyFill="1" applyBorder="1" applyAlignment="1">
      <alignment horizontal="center"/>
    </xf>
    <xf numFmtId="1" fontId="16" fillId="4" borderId="44" xfId="0" applyNumberFormat="1" applyFont="1" applyFill="1" applyBorder="1" applyAlignment="1">
      <alignment horizontal="center"/>
    </xf>
    <xf numFmtId="171" fontId="16" fillId="4" borderId="9" xfId="0" applyNumberFormat="1" applyFont="1" applyFill="1" applyBorder="1" applyAlignment="1">
      <alignment horizontal="center"/>
    </xf>
    <xf numFmtId="0" fontId="13" fillId="2" borderId="59" xfId="0" applyFont="1" applyFill="1" applyBorder="1" applyAlignment="1">
      <alignment horizontal="right"/>
    </xf>
    <xf numFmtId="0" fontId="17" fillId="3" borderId="46" xfId="0" applyFont="1" applyFill="1" applyBorder="1" applyAlignment="1" applyProtection="1">
      <alignment horizontal="center"/>
      <protection locked="0"/>
    </xf>
    <xf numFmtId="0" fontId="13" fillId="2" borderId="19" xfId="0" applyFont="1" applyFill="1" applyBorder="1" applyAlignment="1">
      <alignment horizontal="right"/>
    </xf>
    <xf numFmtId="2" fontId="13" fillId="4" borderId="21" xfId="0" applyNumberFormat="1" applyFont="1" applyFill="1" applyBorder="1" applyAlignment="1">
      <alignment horizontal="center"/>
    </xf>
    <xf numFmtId="2" fontId="13" fillId="5" borderId="21" xfId="0" applyNumberFormat="1" applyFont="1" applyFill="1" applyBorder="1" applyAlignment="1">
      <alignment horizontal="center"/>
    </xf>
    <xf numFmtId="0" fontId="14" fillId="2" borderId="4" xfId="0" applyFont="1" applyFill="1" applyBorder="1" applyAlignment="1">
      <alignment horizontal="left" vertical="center" wrapText="1"/>
    </xf>
    <xf numFmtId="166" fontId="13" fillId="4" borderId="21" xfId="0" applyNumberFormat="1" applyFont="1" applyFill="1" applyBorder="1" applyAlignment="1">
      <alignment horizontal="center"/>
    </xf>
    <xf numFmtId="0" fontId="14" fillId="2" borderId="3" xfId="0" applyFont="1" applyFill="1" applyBorder="1" applyAlignment="1">
      <alignment horizontal="left" vertical="center" wrapText="1"/>
    </xf>
    <xf numFmtId="166" fontId="13" fillId="5" borderId="2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3" fillId="2" borderId="47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 wrapText="1"/>
    </xf>
    <xf numFmtId="0" fontId="13" fillId="2" borderId="10" xfId="0" applyFont="1" applyFill="1" applyBorder="1" applyAlignment="1">
      <alignment horizontal="right"/>
    </xf>
    <xf numFmtId="171" fontId="16" fillId="5" borderId="10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6" fillId="4" borderId="35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 wrapText="1"/>
    </xf>
    <xf numFmtId="1" fontId="17" fillId="3" borderId="7" xfId="0" applyNumberFormat="1" applyFont="1" applyFill="1" applyBorder="1" applyAlignment="1" applyProtection="1">
      <alignment horizontal="center"/>
      <protection locked="0"/>
    </xf>
    <xf numFmtId="166" fontId="13" fillId="2" borderId="7" xfId="0" applyNumberFormat="1" applyFont="1" applyFill="1" applyBorder="1" applyAlignment="1">
      <alignment horizontal="center"/>
    </xf>
    <xf numFmtId="173" fontId="13" fillId="2" borderId="16" xfId="0" applyNumberFormat="1" applyFont="1" applyFill="1" applyBorder="1" applyAlignment="1">
      <alignment horizontal="center"/>
    </xf>
    <xf numFmtId="1" fontId="17" fillId="3" borderId="8" xfId="0" applyNumberFormat="1" applyFont="1" applyFill="1" applyBorder="1" applyAlignment="1" applyProtection="1">
      <alignment horizontal="center"/>
      <protection locked="0"/>
    </xf>
    <xf numFmtId="166" fontId="13" fillId="2" borderId="8" xfId="0" applyNumberFormat="1" applyFont="1" applyFill="1" applyBorder="1" applyAlignment="1">
      <alignment horizontal="center"/>
    </xf>
    <xf numFmtId="173" fontId="13" fillId="2" borderId="18" xfId="0" applyNumberFormat="1" applyFont="1" applyFill="1" applyBorder="1" applyAlignment="1">
      <alignment horizontal="center"/>
    </xf>
    <xf numFmtId="1" fontId="17" fillId="3" borderId="9" xfId="0" applyNumberFormat="1" applyFont="1" applyFill="1" applyBorder="1" applyAlignment="1" applyProtection="1">
      <alignment horizontal="center"/>
      <protection locked="0"/>
    </xf>
    <xf numFmtId="166" fontId="13" fillId="2" borderId="9" xfId="0" applyNumberFormat="1" applyFont="1" applyFill="1" applyBorder="1" applyAlignment="1">
      <alignment horizontal="center"/>
    </xf>
    <xf numFmtId="173" fontId="13" fillId="2" borderId="38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171" fontId="13" fillId="2" borderId="10" xfId="0" applyNumberFormat="1" applyFont="1" applyFill="1" applyBorder="1" applyAlignment="1">
      <alignment horizontal="right"/>
    </xf>
    <xf numFmtId="2" fontId="17" fillId="5" borderId="49" xfId="0" applyNumberFormat="1" applyFont="1" applyFill="1" applyBorder="1" applyAlignment="1">
      <alignment horizontal="center"/>
    </xf>
    <xf numFmtId="174" fontId="17" fillId="5" borderId="46" xfId="0" applyNumberFormat="1" applyFont="1" applyFill="1" applyBorder="1" applyAlignment="1">
      <alignment horizontal="center"/>
    </xf>
    <xf numFmtId="0" fontId="13" fillId="2" borderId="17" xfId="0" applyFont="1" applyFill="1" applyBorder="1"/>
    <xf numFmtId="0" fontId="13" fillId="2" borderId="8" xfId="0" applyFont="1" applyFill="1" applyBorder="1" applyAlignment="1">
      <alignment horizontal="right"/>
    </xf>
    <xf numFmtId="10" fontId="17" fillId="4" borderId="21" xfId="0" applyNumberFormat="1" applyFont="1" applyFill="1" applyBorder="1" applyAlignment="1">
      <alignment horizontal="center"/>
    </xf>
    <xf numFmtId="0" fontId="13" fillId="2" borderId="37" xfId="0" applyFont="1" applyFill="1" applyBorder="1"/>
    <xf numFmtId="0" fontId="17" fillId="5" borderId="22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3" fillId="2" borderId="7" xfId="0" applyFont="1" applyFill="1" applyBorder="1"/>
    <xf numFmtId="0" fontId="16" fillId="2" borderId="41" xfId="0" applyFont="1" applyFill="1" applyBorder="1" applyAlignment="1">
      <alignment horizontal="center" vertical="center"/>
    </xf>
    <xf numFmtId="0" fontId="16" fillId="2" borderId="49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right" vertical="center" wrapText="1"/>
    </xf>
    <xf numFmtId="2" fontId="17" fillId="4" borderId="48" xfId="0" applyNumberFormat="1" applyFont="1" applyFill="1" applyBorder="1" applyAlignment="1">
      <alignment horizontal="center"/>
    </xf>
    <xf numFmtId="174" fontId="17" fillId="4" borderId="48" xfId="0" applyNumberFormat="1" applyFont="1" applyFill="1" applyBorder="1" applyAlignment="1">
      <alignment horizontal="center"/>
    </xf>
    <xf numFmtId="2" fontId="17" fillId="5" borderId="40" xfId="0" applyNumberFormat="1" applyFont="1" applyFill="1" applyBorder="1" applyAlignment="1">
      <alignment horizontal="center"/>
    </xf>
    <xf numFmtId="174" fontId="17" fillId="5" borderId="40" xfId="0" applyNumberFormat="1" applyFont="1" applyFill="1" applyBorder="1" applyAlignment="1">
      <alignment horizontal="center"/>
    </xf>
    <xf numFmtId="175" fontId="26" fillId="2" borderId="0" xfId="0" applyNumberFormat="1" applyFont="1" applyFill="1" applyAlignment="1">
      <alignment horizontal="center"/>
    </xf>
    <xf numFmtId="174" fontId="26" fillId="2" borderId="0" xfId="0" applyNumberFormat="1" applyFont="1" applyFill="1" applyAlignment="1">
      <alignment horizontal="center"/>
    </xf>
    <xf numFmtId="0" fontId="14" fillId="2" borderId="3" xfId="0" applyFont="1" applyFill="1" applyBorder="1" applyAlignment="1">
      <alignment horizontal="left" vertical="center" wrapText="1"/>
    </xf>
    <xf numFmtId="0" fontId="13" fillId="2" borderId="3" xfId="0" applyFont="1" applyFill="1" applyBorder="1"/>
    <xf numFmtId="0" fontId="16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2" xfId="0" applyFont="1" applyFill="1" applyBorder="1"/>
    <xf numFmtId="0" fontId="16" fillId="2" borderId="5" xfId="0" applyFont="1" applyFill="1" applyBorder="1"/>
    <xf numFmtId="0" fontId="13" fillId="2" borderId="5" xfId="0" applyFont="1" applyFill="1" applyBorder="1"/>
    <xf numFmtId="0" fontId="27" fillId="2" borderId="0" xfId="0" applyFont="1" applyFill="1" applyAlignment="1">
      <alignment horizontal="center" vertical="center"/>
    </xf>
    <xf numFmtId="174" fontId="17" fillId="2" borderId="0" xfId="0" applyNumberFormat="1" applyFont="1" applyFill="1" applyAlignment="1">
      <alignment horizontal="center"/>
    </xf>
    <xf numFmtId="2" fontId="17" fillId="3" borderId="10" xfId="0" applyNumberFormat="1" applyFont="1" applyFill="1" applyBorder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" fontId="16" fillId="4" borderId="43" xfId="0" applyNumberFormat="1" applyFont="1" applyFill="1" applyBorder="1" applyAlignment="1">
      <alignment horizontal="center"/>
    </xf>
    <xf numFmtId="0" fontId="13" fillId="2" borderId="45" xfId="0" applyFont="1" applyFill="1" applyBorder="1" applyAlignment="1">
      <alignment horizontal="right"/>
    </xf>
    <xf numFmtId="2" fontId="17" fillId="3" borderId="46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" t="s">
        <v>14</v>
      </c>
      <c r="B11" s="61"/>
      <c r="C11" s="61"/>
      <c r="D11" s="61"/>
      <c r="E11" s="61"/>
      <c r="F11" s="62"/>
      <c r="G11" s="42"/>
    </row>
    <row r="12" spans="1:7" ht="16.5" customHeight="1" x14ac:dyDescent="0.3">
      <c r="A12" s="59" t="s">
        <v>15</v>
      </c>
      <c r="B12" s="59"/>
      <c r="C12" s="59"/>
      <c r="D12" s="59"/>
      <c r="E12" s="59"/>
      <c r="F12" s="59"/>
      <c r="G12" s="41"/>
    </row>
    <row r="14" spans="1:7" ht="16.5" customHeight="1" x14ac:dyDescent="0.3">
      <c r="A14" s="64" t="s">
        <v>16</v>
      </c>
      <c r="B14" s="64"/>
      <c r="C14" s="11" t="s">
        <v>2</v>
      </c>
    </row>
    <row r="15" spans="1:7" ht="16.5" customHeight="1" x14ac:dyDescent="0.3">
      <c r="A15" s="64" t="s">
        <v>17</v>
      </c>
      <c r="B15" s="64"/>
      <c r="C15" s="11" t="s">
        <v>4</v>
      </c>
    </row>
    <row r="16" spans="1:7" ht="16.5" customHeight="1" x14ac:dyDescent="0.3">
      <c r="A16" s="64" t="s">
        <v>18</v>
      </c>
      <c r="B16" s="64"/>
      <c r="C16" s="11" t="s">
        <v>5</v>
      </c>
    </row>
    <row r="17" spans="1:5" ht="16.5" customHeight="1" x14ac:dyDescent="0.3">
      <c r="A17" s="64" t="s">
        <v>19</v>
      </c>
      <c r="B17" s="64"/>
      <c r="C17" s="11" t="s">
        <v>6</v>
      </c>
    </row>
    <row r="18" spans="1:5" ht="16.5" customHeight="1" x14ac:dyDescent="0.3">
      <c r="A18" s="64" t="s">
        <v>20</v>
      </c>
      <c r="B18" s="64"/>
      <c r="C18" s="48" t="s">
        <v>7</v>
      </c>
    </row>
    <row r="19" spans="1:5" ht="16.5" customHeight="1" x14ac:dyDescent="0.3">
      <c r="A19" s="64" t="s">
        <v>21</v>
      </c>
      <c r="B19" s="64"/>
      <c r="C19" s="48" t="e">
        <f>#REF!</f>
        <v>#REF!</v>
      </c>
    </row>
    <row r="20" spans="1:5" ht="16.5" customHeight="1" x14ac:dyDescent="0.3">
      <c r="A20" s="13"/>
      <c r="B20" s="13"/>
      <c r="C20" s="28"/>
    </row>
    <row r="21" spans="1:5" ht="16.5" customHeight="1" x14ac:dyDescent="0.3">
      <c r="A21" s="59" t="s">
        <v>0</v>
      </c>
      <c r="B21" s="59"/>
      <c r="C21" s="10" t="s">
        <v>22</v>
      </c>
      <c r="D21" s="17"/>
    </row>
    <row r="22" spans="1:5" ht="15.75" customHeight="1" x14ac:dyDescent="0.3">
      <c r="A22" s="63"/>
      <c r="B22" s="63"/>
      <c r="C22" s="8"/>
      <c r="D22" s="63"/>
      <c r="E22" s="63"/>
    </row>
    <row r="23" spans="1:5" ht="33.75" customHeight="1" x14ac:dyDescent="0.3">
      <c r="C23" s="37" t="s">
        <v>23</v>
      </c>
      <c r="D23" s="36" t="s">
        <v>24</v>
      </c>
      <c r="E23" s="3"/>
    </row>
    <row r="24" spans="1:5" ht="15.75" customHeight="1" x14ac:dyDescent="0.3">
      <c r="C24" s="46">
        <v>1071.27</v>
      </c>
      <c r="D24" s="38">
        <f t="shared" ref="D24:D43" si="0">(C24-$C$46)/$C$46</f>
        <v>-1.2631172437693284E-2</v>
      </c>
      <c r="E24" s="4"/>
    </row>
    <row r="25" spans="1:5" ht="15.75" customHeight="1" x14ac:dyDescent="0.3">
      <c r="C25" s="46">
        <v>1079.8900000000001</v>
      </c>
      <c r="D25" s="39">
        <f t="shared" si="0"/>
        <v>-4.686285253708667E-3</v>
      </c>
      <c r="E25" s="4"/>
    </row>
    <row r="26" spans="1:5" ht="15.75" customHeight="1" x14ac:dyDescent="0.3">
      <c r="C26" s="46">
        <v>1098.4100000000001</v>
      </c>
      <c r="D26" s="39">
        <f t="shared" si="0"/>
        <v>1.2383240343436686E-2</v>
      </c>
      <c r="E26" s="4"/>
    </row>
    <row r="27" spans="1:5" ht="15.75" customHeight="1" x14ac:dyDescent="0.3">
      <c r="C27" s="46">
        <v>1088.1199999999999</v>
      </c>
      <c r="D27" s="39">
        <f t="shared" si="0"/>
        <v>2.8991464776359777E-3</v>
      </c>
      <c r="E27" s="4"/>
    </row>
    <row r="28" spans="1:5" ht="15.75" customHeight="1" x14ac:dyDescent="0.3">
      <c r="C28" s="46">
        <v>1089.95</v>
      </c>
      <c r="D28" s="39">
        <f t="shared" si="0"/>
        <v>4.5858220630991889E-3</v>
      </c>
      <c r="E28" s="4"/>
    </row>
    <row r="29" spans="1:5" ht="15.75" customHeight="1" x14ac:dyDescent="0.3">
      <c r="C29" s="46">
        <v>1083.27</v>
      </c>
      <c r="D29" s="39">
        <f t="shared" si="0"/>
        <v>-1.5710046641649667E-3</v>
      </c>
      <c r="E29" s="4"/>
    </row>
    <row r="30" spans="1:5" ht="15.75" customHeight="1" x14ac:dyDescent="0.3">
      <c r="C30" s="46">
        <v>1080.48</v>
      </c>
      <c r="D30" s="39">
        <f t="shared" si="0"/>
        <v>-4.1424936715102672E-3</v>
      </c>
      <c r="E30" s="4"/>
    </row>
    <row r="31" spans="1:5" ht="15.75" customHeight="1" x14ac:dyDescent="0.3">
      <c r="C31" s="46">
        <v>1088.4100000000001</v>
      </c>
      <c r="D31" s="39">
        <f t="shared" si="0"/>
        <v>3.1664338654964217E-3</v>
      </c>
      <c r="E31" s="4"/>
    </row>
    <row r="32" spans="1:5" ht="15.75" customHeight="1" x14ac:dyDescent="0.3">
      <c r="C32" s="46">
        <v>1084.81</v>
      </c>
      <c r="D32" s="39">
        <f t="shared" si="0"/>
        <v>-1.516164665621995E-4</v>
      </c>
      <c r="E32" s="4"/>
    </row>
    <row r="33" spans="1:7" ht="15.75" customHeight="1" x14ac:dyDescent="0.3">
      <c r="C33" s="46">
        <v>1074.1600000000001</v>
      </c>
      <c r="D33" s="39">
        <f t="shared" si="0"/>
        <v>-9.9675153655684554E-3</v>
      </c>
      <c r="E33" s="4"/>
    </row>
    <row r="34" spans="1:7" ht="15.75" customHeight="1" x14ac:dyDescent="0.3">
      <c r="C34" s="46">
        <v>1075.19</v>
      </c>
      <c r="D34" s="39">
        <f t="shared" si="0"/>
        <v>-9.0181842983406337E-3</v>
      </c>
      <c r="E34" s="4"/>
    </row>
    <row r="35" spans="1:7" ht="15.75" customHeight="1" x14ac:dyDescent="0.3">
      <c r="C35" s="46">
        <v>1080.24</v>
      </c>
      <c r="D35" s="39">
        <f t="shared" si="0"/>
        <v>-4.3636970269808418E-3</v>
      </c>
      <c r="E35" s="4"/>
    </row>
    <row r="36" spans="1:7" ht="15.75" customHeight="1" x14ac:dyDescent="0.3">
      <c r="C36" s="46">
        <v>1072.17</v>
      </c>
      <c r="D36" s="39">
        <f t="shared" si="0"/>
        <v>-1.1801659854678577E-2</v>
      </c>
      <c r="E36" s="4"/>
    </row>
    <row r="37" spans="1:7" ht="15.75" customHeight="1" x14ac:dyDescent="0.3">
      <c r="C37" s="46">
        <v>1076.7</v>
      </c>
      <c r="D37" s="39">
        <f t="shared" si="0"/>
        <v>-7.6264465201716621E-3</v>
      </c>
      <c r="E37" s="4"/>
    </row>
    <row r="38" spans="1:7" ht="15.75" customHeight="1" x14ac:dyDescent="0.3">
      <c r="C38" s="46">
        <v>1087.6600000000001</v>
      </c>
      <c r="D38" s="39">
        <f t="shared" si="0"/>
        <v>2.4751733796509016E-3</v>
      </c>
      <c r="E38" s="4"/>
    </row>
    <row r="39" spans="1:7" ht="15.75" customHeight="1" x14ac:dyDescent="0.3">
      <c r="C39" s="46">
        <v>1078.5899999999999</v>
      </c>
      <c r="D39" s="39">
        <f t="shared" si="0"/>
        <v>-5.8844700958410696E-3</v>
      </c>
      <c r="E39" s="4"/>
    </row>
    <row r="40" spans="1:7" ht="15.75" customHeight="1" x14ac:dyDescent="0.3">
      <c r="C40" s="46">
        <v>1093.04</v>
      </c>
      <c r="D40" s="39">
        <f t="shared" si="0"/>
        <v>7.4338152647826549E-3</v>
      </c>
      <c r="E40" s="4"/>
    </row>
    <row r="41" spans="1:7" ht="15.75" customHeight="1" x14ac:dyDescent="0.3">
      <c r="C41" s="46">
        <v>1107.6600000000001</v>
      </c>
      <c r="D41" s="39">
        <f t="shared" si="0"/>
        <v>2.0908786335531431E-2</v>
      </c>
      <c r="E41" s="4"/>
    </row>
    <row r="42" spans="1:7" ht="15.75" customHeight="1" x14ac:dyDescent="0.3">
      <c r="C42" s="46">
        <v>1088.77</v>
      </c>
      <c r="D42" s="39">
        <f t="shared" si="0"/>
        <v>3.4982388987021789E-3</v>
      </c>
      <c r="E42" s="4"/>
    </row>
    <row r="43" spans="1:7" ht="16.5" customHeight="1" x14ac:dyDescent="0.3">
      <c r="C43" s="47">
        <v>1100.7</v>
      </c>
      <c r="D43" s="40">
        <f t="shared" si="0"/>
        <v>1.4493889026884973E-2</v>
      </c>
      <c r="E43" s="4"/>
    </row>
    <row r="44" spans="1:7" ht="16.5" customHeight="1" x14ac:dyDescent="0.3">
      <c r="C44" s="5"/>
      <c r="D44" s="4"/>
      <c r="E44" s="6"/>
    </row>
    <row r="45" spans="1:7" ht="16.5" customHeight="1" x14ac:dyDescent="0.3">
      <c r="B45" s="33" t="s">
        <v>25</v>
      </c>
      <c r="C45" s="34">
        <f>SUM(C24:C44)</f>
        <v>21699.49</v>
      </c>
      <c r="D45" s="29"/>
      <c r="E45" s="5"/>
    </row>
    <row r="46" spans="1:7" ht="17.25" customHeight="1" x14ac:dyDescent="0.3">
      <c r="B46" s="33" t="s">
        <v>26</v>
      </c>
      <c r="C46" s="35">
        <f>AVERAGE(C24:C44)</f>
        <v>1084.9745</v>
      </c>
      <c r="E46" s="7"/>
    </row>
    <row r="47" spans="1:7" ht="17.25" customHeight="1" x14ac:dyDescent="0.3">
      <c r="A47" s="11"/>
      <c r="B47" s="30"/>
      <c r="D47" s="9"/>
      <c r="E47" s="7"/>
    </row>
    <row r="48" spans="1:7" ht="33.75" customHeight="1" x14ac:dyDescent="0.3">
      <c r="B48" s="43" t="s">
        <v>26</v>
      </c>
      <c r="C48" s="36" t="s">
        <v>27</v>
      </c>
      <c r="D48" s="31"/>
      <c r="G48" s="9"/>
    </row>
    <row r="49" spans="1:6" ht="17.25" customHeight="1" x14ac:dyDescent="0.3">
      <c r="B49" s="57">
        <f>C46</f>
        <v>1084.9745</v>
      </c>
      <c r="C49" s="44">
        <f>-IF(C46&lt;=80,10%,IF(C46&lt;250,7.5%,5%))</f>
        <v>-0.05</v>
      </c>
      <c r="D49" s="32">
        <f>IF(C46&lt;=80,C46*0.9,IF(C46&lt;250,C46*0.925,C46*0.95))</f>
        <v>1030.7257749999999</v>
      </c>
    </row>
    <row r="50" spans="1:6" ht="17.25" customHeight="1" x14ac:dyDescent="0.3">
      <c r="B50" s="58"/>
      <c r="C50" s="45">
        <f>IF(C46&lt;=80, 10%, IF(C46&lt;250, 7.5%, 5%))</f>
        <v>0.05</v>
      </c>
      <c r="D50" s="32">
        <f>IF(C46&lt;=80, C46*1.1, IF(C46&lt;250, C46*1.075, C46*1.05))</f>
        <v>1139.2232250000002</v>
      </c>
    </row>
    <row r="51" spans="1:6" ht="16.5" customHeight="1" x14ac:dyDescent="0.3">
      <c r="A51" s="14"/>
      <c r="B51" s="15"/>
      <c r="C51" s="11"/>
      <c r="D51" s="16"/>
      <c r="E51" s="11"/>
      <c r="F51" s="17"/>
    </row>
    <row r="52" spans="1:6" ht="16.5" customHeight="1" x14ac:dyDescent="0.3">
      <c r="A52" s="11"/>
      <c r="B52" s="18" t="s">
        <v>9</v>
      </c>
      <c r="C52" s="18"/>
      <c r="D52" s="19" t="s">
        <v>10</v>
      </c>
      <c r="E52" s="20"/>
      <c r="F52" s="19" t="s">
        <v>11</v>
      </c>
    </row>
    <row r="53" spans="1:6" ht="34.5" customHeight="1" x14ac:dyDescent="0.3">
      <c r="A53" s="21" t="s">
        <v>12</v>
      </c>
      <c r="B53" s="22"/>
      <c r="C53" s="23"/>
      <c r="D53" s="22"/>
      <c r="E53" s="12"/>
      <c r="F53" s="24"/>
    </row>
    <row r="54" spans="1:6" ht="34.5" customHeight="1" x14ac:dyDescent="0.3">
      <c r="A54" s="21" t="s">
        <v>13</v>
      </c>
      <c r="B54" s="25"/>
      <c r="C54" s="26"/>
      <c r="D54" s="25"/>
      <c r="E54" s="12"/>
      <c r="F54" s="27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7" zoomScale="55" zoomScaleNormal="40" zoomScalePageLayoutView="55" workbookViewId="0">
      <selection activeCell="G76" sqref="G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12" ht="18.75" customHeight="1" x14ac:dyDescent="0.25">
      <c r="A1" s="288" t="s">
        <v>28</v>
      </c>
      <c r="B1" s="288"/>
      <c r="C1" s="288"/>
      <c r="D1" s="288"/>
      <c r="E1" s="288"/>
      <c r="F1" s="288"/>
      <c r="G1" s="288"/>
      <c r="H1" s="288"/>
      <c r="I1" s="288"/>
    </row>
    <row r="2" spans="1:12" ht="18.7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</row>
    <row r="3" spans="1:12" ht="18.75" customHeight="1" x14ac:dyDescent="0.25">
      <c r="A3" s="288"/>
      <c r="B3" s="288"/>
      <c r="C3" s="288"/>
      <c r="D3" s="288"/>
      <c r="E3" s="288"/>
      <c r="F3" s="288"/>
      <c r="G3" s="288"/>
      <c r="H3" s="288"/>
      <c r="I3" s="288"/>
    </row>
    <row r="4" spans="1:12" s="66" customFormat="1" ht="18.7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  <c r="J4" s="65"/>
      <c r="K4" s="65"/>
      <c r="L4" s="65"/>
    </row>
    <row r="5" spans="1:12" s="66" customFormat="1" ht="18.75" customHeight="1" x14ac:dyDescent="0.25">
      <c r="A5" s="288"/>
      <c r="B5" s="288"/>
      <c r="C5" s="288"/>
      <c r="D5" s="288"/>
      <c r="E5" s="288"/>
      <c r="F5" s="288"/>
      <c r="G5" s="288"/>
      <c r="H5" s="288"/>
      <c r="I5" s="288"/>
      <c r="J5" s="65"/>
      <c r="K5" s="65"/>
      <c r="L5" s="65"/>
    </row>
    <row r="6" spans="1:12" s="66" customFormat="1" ht="18.7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  <c r="J6" s="65"/>
      <c r="K6" s="65"/>
      <c r="L6" s="65"/>
    </row>
    <row r="7" spans="1:12" s="66" customFormat="1" ht="18.75" customHeight="1" x14ac:dyDescent="0.25">
      <c r="A7" s="288"/>
      <c r="B7" s="288"/>
      <c r="C7" s="288"/>
      <c r="D7" s="288"/>
      <c r="E7" s="288"/>
      <c r="F7" s="288"/>
      <c r="G7" s="288"/>
      <c r="H7" s="288"/>
      <c r="I7" s="288"/>
      <c r="J7" s="65"/>
      <c r="K7" s="65"/>
      <c r="L7" s="65"/>
    </row>
    <row r="8" spans="1:12" s="66" customFormat="1" x14ac:dyDescent="0.25">
      <c r="A8" s="67" t="s">
        <v>29</v>
      </c>
      <c r="B8" s="67"/>
      <c r="C8" s="67"/>
      <c r="D8" s="67"/>
      <c r="E8" s="67"/>
      <c r="F8" s="67"/>
      <c r="G8" s="67"/>
      <c r="H8" s="67"/>
      <c r="I8" s="67"/>
      <c r="J8" s="65"/>
      <c r="K8" s="65"/>
      <c r="L8" s="65"/>
    </row>
    <row r="9" spans="1:12" s="66" customFormat="1" x14ac:dyDescent="0.25">
      <c r="A9" s="67"/>
      <c r="B9" s="67"/>
      <c r="C9" s="67"/>
      <c r="D9" s="67"/>
      <c r="E9" s="67"/>
      <c r="F9" s="67"/>
      <c r="G9" s="67"/>
      <c r="H9" s="67"/>
      <c r="I9" s="67"/>
      <c r="J9" s="65"/>
      <c r="K9" s="65"/>
      <c r="L9" s="65"/>
    </row>
    <row r="10" spans="1:12" s="66" customFormat="1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5"/>
      <c r="K10" s="65"/>
      <c r="L10" s="65"/>
    </row>
    <row r="11" spans="1:12" s="66" customFormat="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5"/>
      <c r="K11" s="65"/>
      <c r="L11" s="65"/>
    </row>
    <row r="12" spans="1:12" s="66" customFormat="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5"/>
      <c r="K12" s="65"/>
      <c r="L12" s="65"/>
    </row>
    <row r="13" spans="1:12" s="66" customFormat="1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5"/>
      <c r="K13" s="65"/>
      <c r="L13" s="65"/>
    </row>
    <row r="14" spans="1:12" s="66" customFormat="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5"/>
      <c r="K14" s="65"/>
      <c r="L14" s="65"/>
    </row>
    <row r="15" spans="1:12" s="66" customFormat="1" ht="19.5" customHeight="1" x14ac:dyDescent="0.3">
      <c r="A15" s="68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 s="66" customFormat="1" ht="19.5" customHeight="1" x14ac:dyDescent="0.3">
      <c r="A16" s="69" t="s">
        <v>14</v>
      </c>
      <c r="B16" s="70"/>
      <c r="C16" s="70"/>
      <c r="D16" s="70"/>
      <c r="E16" s="70"/>
      <c r="F16" s="70"/>
      <c r="G16" s="70"/>
      <c r="H16" s="71"/>
      <c r="I16" s="65"/>
      <c r="J16" s="65"/>
      <c r="K16" s="65"/>
      <c r="L16" s="65"/>
    </row>
    <row r="17" spans="1:14" s="66" customFormat="1" ht="20.25" customHeight="1" x14ac:dyDescent="0.25">
      <c r="A17" s="72" t="s">
        <v>30</v>
      </c>
      <c r="B17" s="72"/>
      <c r="C17" s="72"/>
      <c r="D17" s="72"/>
      <c r="E17" s="72"/>
      <c r="F17" s="72"/>
      <c r="G17" s="72"/>
      <c r="H17" s="72"/>
      <c r="I17" s="65"/>
      <c r="J17" s="65"/>
      <c r="K17" s="65"/>
      <c r="L17" s="65"/>
    </row>
    <row r="18" spans="1:14" s="66" customFormat="1" ht="26.25" customHeight="1" x14ac:dyDescent="0.4">
      <c r="A18" s="73" t="s">
        <v>16</v>
      </c>
      <c r="B18" s="74" t="s">
        <v>2</v>
      </c>
      <c r="C18" s="74"/>
      <c r="D18" s="75"/>
      <c r="E18" s="76"/>
      <c r="F18" s="77"/>
      <c r="G18" s="77"/>
      <c r="H18" s="77"/>
      <c r="I18" s="65"/>
      <c r="J18" s="65"/>
      <c r="K18" s="65"/>
      <c r="L18" s="65"/>
    </row>
    <row r="19" spans="1:14" s="66" customFormat="1" ht="26.25" customHeight="1" x14ac:dyDescent="0.4">
      <c r="A19" s="73" t="s">
        <v>17</v>
      </c>
      <c r="B19" s="78" t="s">
        <v>4</v>
      </c>
      <c r="C19" s="77">
        <v>1</v>
      </c>
      <c r="D19" s="77"/>
      <c r="E19" s="77"/>
      <c r="F19" s="77"/>
      <c r="G19" s="77"/>
      <c r="H19" s="77"/>
      <c r="I19" s="65"/>
      <c r="J19" s="65"/>
      <c r="K19" s="65"/>
      <c r="L19" s="65"/>
    </row>
    <row r="20" spans="1:14" s="66" customFormat="1" ht="26.25" customHeight="1" x14ac:dyDescent="0.4">
      <c r="A20" s="73" t="s">
        <v>18</v>
      </c>
      <c r="B20" s="79" t="s">
        <v>101</v>
      </c>
      <c r="C20" s="79"/>
      <c r="D20" s="77"/>
      <c r="E20" s="77"/>
      <c r="F20" s="77"/>
      <c r="G20" s="77"/>
      <c r="H20" s="77"/>
      <c r="I20" s="65"/>
      <c r="J20" s="65"/>
      <c r="K20" s="65"/>
      <c r="L20" s="65"/>
    </row>
    <row r="21" spans="1:14" s="66" customFormat="1" ht="26.25" customHeight="1" x14ac:dyDescent="0.4">
      <c r="A21" s="73" t="s">
        <v>19</v>
      </c>
      <c r="B21" s="79" t="s">
        <v>100</v>
      </c>
      <c r="C21" s="79"/>
      <c r="D21" s="79"/>
      <c r="E21" s="79"/>
      <c r="F21" s="79"/>
      <c r="G21" s="79"/>
      <c r="H21" s="79"/>
      <c r="I21" s="80"/>
      <c r="J21" s="65"/>
      <c r="K21" s="65"/>
      <c r="L21" s="65"/>
    </row>
    <row r="22" spans="1:14" s="66" customFormat="1" ht="26.25" customHeight="1" x14ac:dyDescent="0.4">
      <c r="A22" s="73" t="s">
        <v>20</v>
      </c>
      <c r="B22" s="81">
        <v>42761</v>
      </c>
      <c r="C22" s="77"/>
      <c r="D22" s="77"/>
      <c r="E22" s="77"/>
      <c r="F22" s="77"/>
      <c r="G22" s="77"/>
      <c r="H22" s="77"/>
      <c r="I22" s="65"/>
      <c r="J22" s="65"/>
      <c r="K22" s="65"/>
      <c r="L22" s="65"/>
    </row>
    <row r="23" spans="1:14" s="66" customFormat="1" ht="26.25" customHeight="1" x14ac:dyDescent="0.4">
      <c r="A23" s="73" t="s">
        <v>21</v>
      </c>
      <c r="B23" s="81">
        <v>42762</v>
      </c>
      <c r="C23" s="77"/>
      <c r="D23" s="77"/>
      <c r="E23" s="77"/>
      <c r="F23" s="77"/>
      <c r="G23" s="77"/>
      <c r="H23" s="77"/>
      <c r="I23" s="65"/>
      <c r="J23" s="65"/>
      <c r="K23" s="65"/>
      <c r="L23" s="65"/>
    </row>
    <row r="24" spans="1:14" s="66" customFormat="1" ht="18.75" x14ac:dyDescent="0.3">
      <c r="A24" s="73"/>
      <c r="B24" s="82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4" s="66" customFormat="1" ht="18.75" x14ac:dyDescent="0.3">
      <c r="A25" s="83" t="s">
        <v>0</v>
      </c>
      <c r="B25" s="82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4" s="66" customFormat="1" ht="26.25" customHeight="1" x14ac:dyDescent="0.4">
      <c r="A26" s="84" t="s">
        <v>1</v>
      </c>
      <c r="B26" s="74" t="s">
        <v>97</v>
      </c>
      <c r="C26" s="74"/>
      <c r="D26" s="65"/>
      <c r="E26" s="65"/>
      <c r="F26" s="65"/>
      <c r="G26" s="65"/>
      <c r="H26" s="65"/>
      <c r="I26" s="65"/>
      <c r="J26" s="65"/>
      <c r="K26" s="65"/>
      <c r="L26" s="65"/>
    </row>
    <row r="27" spans="1:14" s="66" customFormat="1" ht="26.25" customHeight="1" x14ac:dyDescent="0.4">
      <c r="A27" s="85" t="s">
        <v>31</v>
      </c>
      <c r="B27" s="86" t="s">
        <v>102</v>
      </c>
      <c r="C27" s="86"/>
      <c r="D27" s="65"/>
      <c r="E27" s="65"/>
      <c r="F27" s="65"/>
      <c r="G27" s="65"/>
      <c r="H27" s="65"/>
      <c r="I27" s="65"/>
      <c r="J27" s="65"/>
      <c r="K27" s="65"/>
      <c r="L27" s="65"/>
    </row>
    <row r="28" spans="1:14" s="66" customFormat="1" ht="27" customHeight="1" x14ac:dyDescent="0.4">
      <c r="A28" s="85" t="s">
        <v>3</v>
      </c>
      <c r="B28" s="87">
        <v>99.3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4" s="92" customFormat="1" ht="27" customHeight="1" x14ac:dyDescent="0.4">
      <c r="A29" s="85" t="s">
        <v>32</v>
      </c>
      <c r="B29" s="88">
        <v>0.35</v>
      </c>
      <c r="C29" s="89" t="s">
        <v>33</v>
      </c>
      <c r="D29" s="90"/>
      <c r="E29" s="90"/>
      <c r="F29" s="90"/>
      <c r="G29" s="91"/>
      <c r="I29" s="93"/>
      <c r="J29" s="93"/>
      <c r="K29" s="93"/>
      <c r="L29" s="93"/>
    </row>
    <row r="30" spans="1:14" s="92" customFormat="1" ht="19.5" customHeight="1" x14ac:dyDescent="0.3">
      <c r="A30" s="85" t="s">
        <v>34</v>
      </c>
      <c r="B30" s="94">
        <f>B28-B29</f>
        <v>98.95</v>
      </c>
      <c r="C30" s="95"/>
      <c r="D30" s="95"/>
      <c r="E30" s="95"/>
      <c r="F30" s="95"/>
      <c r="G30" s="96"/>
      <c r="I30" s="93"/>
      <c r="J30" s="93"/>
      <c r="K30" s="93"/>
      <c r="L30" s="93"/>
    </row>
    <row r="31" spans="1:14" s="92" customFormat="1" ht="27" customHeight="1" x14ac:dyDescent="0.4">
      <c r="A31" s="85" t="s">
        <v>35</v>
      </c>
      <c r="B31" s="97">
        <v>1</v>
      </c>
      <c r="C31" s="98" t="s">
        <v>36</v>
      </c>
      <c r="D31" s="99"/>
      <c r="E31" s="99"/>
      <c r="F31" s="99"/>
      <c r="G31" s="99"/>
      <c r="H31" s="100"/>
      <c r="I31" s="93"/>
      <c r="J31" s="93"/>
      <c r="K31" s="93"/>
      <c r="L31" s="93"/>
    </row>
    <row r="32" spans="1:14" s="92" customFormat="1" ht="27" customHeight="1" x14ac:dyDescent="0.4">
      <c r="A32" s="85" t="s">
        <v>37</v>
      </c>
      <c r="B32" s="97">
        <v>1</v>
      </c>
      <c r="C32" s="98" t="s">
        <v>38</v>
      </c>
      <c r="D32" s="99"/>
      <c r="E32" s="99"/>
      <c r="F32" s="99"/>
      <c r="G32" s="99"/>
      <c r="H32" s="100"/>
      <c r="I32" s="93"/>
      <c r="J32" s="93"/>
      <c r="K32" s="93"/>
      <c r="L32" s="101"/>
      <c r="M32" s="101"/>
      <c r="N32" s="102"/>
    </row>
    <row r="33" spans="1:14" s="92" customFormat="1" ht="17.25" customHeight="1" x14ac:dyDescent="0.3">
      <c r="A33" s="85"/>
      <c r="B33" s="103"/>
      <c r="C33" s="104"/>
      <c r="D33" s="104"/>
      <c r="E33" s="104"/>
      <c r="F33" s="104"/>
      <c r="G33" s="104"/>
      <c r="H33" s="104"/>
      <c r="I33" s="93"/>
      <c r="J33" s="93"/>
      <c r="K33" s="93"/>
      <c r="L33" s="101"/>
      <c r="M33" s="101"/>
      <c r="N33" s="102"/>
    </row>
    <row r="34" spans="1:14" s="92" customFormat="1" ht="18.75" x14ac:dyDescent="0.3">
      <c r="A34" s="85" t="s">
        <v>39</v>
      </c>
      <c r="B34" s="105">
        <f>B31/B32</f>
        <v>1</v>
      </c>
      <c r="C34" s="68" t="s">
        <v>40</v>
      </c>
      <c r="D34" s="68"/>
      <c r="E34" s="68"/>
      <c r="F34" s="68"/>
      <c r="G34" s="68"/>
      <c r="I34" s="93"/>
      <c r="J34" s="93"/>
      <c r="K34" s="93"/>
      <c r="L34" s="101"/>
      <c r="M34" s="101"/>
      <c r="N34" s="102"/>
    </row>
    <row r="35" spans="1:14" s="92" customFormat="1" ht="19.5" customHeight="1" x14ac:dyDescent="0.3">
      <c r="A35" s="85"/>
      <c r="B35" s="94"/>
      <c r="G35" s="68"/>
      <c r="I35" s="93"/>
      <c r="J35" s="93"/>
      <c r="K35" s="93"/>
      <c r="L35" s="101"/>
      <c r="M35" s="101"/>
      <c r="N35" s="102"/>
    </row>
    <row r="36" spans="1:14" s="92" customFormat="1" ht="27" customHeight="1" x14ac:dyDescent="0.4">
      <c r="A36" s="106" t="s">
        <v>41</v>
      </c>
      <c r="B36" s="107">
        <v>20</v>
      </c>
      <c r="C36" s="68"/>
      <c r="D36" s="108" t="s">
        <v>42</v>
      </c>
      <c r="E36" s="109"/>
      <c r="F36" s="108" t="s">
        <v>43</v>
      </c>
      <c r="G36" s="110"/>
      <c r="J36" s="93"/>
      <c r="K36" s="93"/>
      <c r="L36" s="101"/>
      <c r="M36" s="101"/>
      <c r="N36" s="102"/>
    </row>
    <row r="37" spans="1:14" s="92" customFormat="1" ht="27" customHeight="1" x14ac:dyDescent="0.4">
      <c r="A37" s="111" t="s">
        <v>103</v>
      </c>
      <c r="B37" s="112">
        <v>4</v>
      </c>
      <c r="C37" s="113" t="s">
        <v>44</v>
      </c>
      <c r="D37" s="114" t="s">
        <v>45</v>
      </c>
      <c r="E37" s="115" t="s">
        <v>46</v>
      </c>
      <c r="F37" s="114" t="s">
        <v>45</v>
      </c>
      <c r="G37" s="116" t="s">
        <v>46</v>
      </c>
      <c r="I37" s="117" t="s">
        <v>47</v>
      </c>
      <c r="J37" s="93"/>
      <c r="K37" s="93"/>
      <c r="L37" s="101"/>
      <c r="M37" s="101"/>
      <c r="N37" s="102"/>
    </row>
    <row r="38" spans="1:14" s="92" customFormat="1" ht="26.25" customHeight="1" x14ac:dyDescent="0.4">
      <c r="A38" s="111" t="s">
        <v>104</v>
      </c>
      <c r="B38" s="112">
        <v>100</v>
      </c>
      <c r="C38" s="118">
        <v>1</v>
      </c>
      <c r="D38" s="119">
        <v>463592</v>
      </c>
      <c r="E38" s="120">
        <f>IF(ISBLANK(D38),"-",$D$48/$D$45*D38)</f>
        <v>483001.41173038556</v>
      </c>
      <c r="F38" s="119">
        <v>493449</v>
      </c>
      <c r="G38" s="121">
        <f>IF(ISBLANK(F38),"-",$D$48/$F$45*F38)</f>
        <v>469903.59909794899</v>
      </c>
      <c r="I38" s="122"/>
      <c r="J38" s="93"/>
      <c r="K38" s="93"/>
      <c r="L38" s="101"/>
      <c r="M38" s="101"/>
      <c r="N38" s="102"/>
    </row>
    <row r="39" spans="1:14" s="92" customFormat="1" ht="26.25" customHeight="1" x14ac:dyDescent="0.4">
      <c r="A39" s="111" t="s">
        <v>105</v>
      </c>
      <c r="B39" s="112">
        <v>1</v>
      </c>
      <c r="C39" s="123">
        <v>2</v>
      </c>
      <c r="D39" s="124">
        <v>461226</v>
      </c>
      <c r="E39" s="125">
        <f>IF(ISBLANK(D39),"-",$D$48/$D$45*D39)</f>
        <v>480536.35335976206</v>
      </c>
      <c r="F39" s="124">
        <v>494400</v>
      </c>
      <c r="G39" s="126">
        <f>IF(ISBLANK(F39),"-",$D$48/$F$45*F39)</f>
        <v>470809.22120427032</v>
      </c>
      <c r="I39" s="127">
        <f>ABS((F43/D43*D42)-F42)/D42</f>
        <v>2.5681311034455988E-2</v>
      </c>
      <c r="J39" s="93"/>
      <c r="K39" s="93"/>
      <c r="L39" s="101"/>
      <c r="M39" s="101"/>
      <c r="N39" s="102"/>
    </row>
    <row r="40" spans="1:14" s="66" customFormat="1" ht="26.25" customHeight="1" x14ac:dyDescent="0.4">
      <c r="A40" s="111" t="s">
        <v>106</v>
      </c>
      <c r="B40" s="112">
        <v>1</v>
      </c>
      <c r="C40" s="123">
        <v>3</v>
      </c>
      <c r="D40" s="124">
        <v>461961</v>
      </c>
      <c r="E40" s="125">
        <f>IF(ISBLANK(D40),"-",$D$48/$D$45*D40)</f>
        <v>481302.12593051791</v>
      </c>
      <c r="F40" s="124">
        <v>493773</v>
      </c>
      <c r="G40" s="126">
        <f>IF(ISBLANK(F40),"-",$D$48/$F$45*F40)</f>
        <v>470212.13912155369</v>
      </c>
      <c r="H40" s="65"/>
      <c r="I40" s="127"/>
      <c r="J40" s="65"/>
      <c r="K40" s="65"/>
      <c r="L40" s="101"/>
      <c r="M40" s="101"/>
      <c r="N40" s="68"/>
    </row>
    <row r="41" spans="1:14" s="66" customFormat="1" ht="27" customHeight="1" x14ac:dyDescent="0.4">
      <c r="A41" s="111" t="s">
        <v>107</v>
      </c>
      <c r="B41" s="112">
        <v>1</v>
      </c>
      <c r="C41" s="128">
        <v>4</v>
      </c>
      <c r="D41" s="129"/>
      <c r="E41" s="130" t="str">
        <f>IF(ISBLANK(D41),"-",$D$48/$D$45*D41)</f>
        <v>-</v>
      </c>
      <c r="F41" s="129"/>
      <c r="G41" s="131" t="str">
        <f>IF(ISBLANK(F41),"-",$D$48/$F$45*F41)</f>
        <v>-</v>
      </c>
      <c r="H41" s="65"/>
      <c r="I41" s="132"/>
      <c r="J41" s="65"/>
      <c r="K41" s="65"/>
      <c r="L41" s="101"/>
      <c r="M41" s="101"/>
      <c r="N41" s="68"/>
    </row>
    <row r="42" spans="1:14" s="66" customFormat="1" ht="27" customHeight="1" x14ac:dyDescent="0.4">
      <c r="A42" s="111" t="s">
        <v>108</v>
      </c>
      <c r="B42" s="112">
        <v>1</v>
      </c>
      <c r="C42" s="133" t="s">
        <v>48</v>
      </c>
      <c r="D42" s="134">
        <f>AVERAGE(D38:D41)</f>
        <v>462259.66666666669</v>
      </c>
      <c r="E42" s="135">
        <f>AVERAGE(E38:E41)</f>
        <v>481613.29700688849</v>
      </c>
      <c r="F42" s="134">
        <f>AVERAGE(F38:F41)</f>
        <v>493874</v>
      </c>
      <c r="G42" s="136">
        <f>AVERAGE(G38:G41)</f>
        <v>470308.31980792433</v>
      </c>
      <c r="H42" s="137"/>
      <c r="I42" s="65"/>
      <c r="J42" s="65"/>
      <c r="K42" s="65"/>
      <c r="L42" s="65"/>
    </row>
    <row r="43" spans="1:14" s="66" customFormat="1" ht="26.25" customHeight="1" x14ac:dyDescent="0.4">
      <c r="A43" s="111" t="s">
        <v>109</v>
      </c>
      <c r="B43" s="112">
        <v>1</v>
      </c>
      <c r="C43" s="138" t="s">
        <v>49</v>
      </c>
      <c r="D43" s="139">
        <v>15.52</v>
      </c>
      <c r="E43" s="68"/>
      <c r="F43" s="139">
        <v>16.98</v>
      </c>
      <c r="G43" s="65"/>
      <c r="H43" s="137"/>
      <c r="I43" s="65"/>
      <c r="J43" s="65"/>
      <c r="K43" s="65"/>
      <c r="L43" s="65"/>
    </row>
    <row r="44" spans="1:14" s="66" customFormat="1" ht="26.25" customHeight="1" x14ac:dyDescent="0.4">
      <c r="A44" s="111" t="s">
        <v>110</v>
      </c>
      <c r="B44" s="112">
        <v>1</v>
      </c>
      <c r="C44" s="140" t="s">
        <v>50</v>
      </c>
      <c r="D44" s="141">
        <f>D43*$B$34</f>
        <v>15.52</v>
      </c>
      <c r="E44" s="142"/>
      <c r="F44" s="141">
        <f>F43*$B$34</f>
        <v>16.98</v>
      </c>
      <c r="G44" s="65"/>
      <c r="H44" s="137"/>
      <c r="I44" s="65"/>
      <c r="J44" s="65"/>
      <c r="K44" s="65"/>
      <c r="L44" s="65"/>
    </row>
    <row r="45" spans="1:14" s="66" customFormat="1" ht="19.5" customHeight="1" x14ac:dyDescent="0.3">
      <c r="A45" s="111" t="s">
        <v>51</v>
      </c>
      <c r="B45" s="123">
        <f>(B44/B43)*(B42/B41)*(B40/B39)*(B38/B37)*B36</f>
        <v>500</v>
      </c>
      <c r="C45" s="140" t="s">
        <v>52</v>
      </c>
      <c r="D45" s="143">
        <f>D44*$B$30/100</f>
        <v>15.35704</v>
      </c>
      <c r="E45" s="144"/>
      <c r="F45" s="143">
        <f>F44*$B$30/100</f>
        <v>16.80171</v>
      </c>
      <c r="G45" s="65"/>
      <c r="H45" s="137"/>
      <c r="I45" s="65"/>
      <c r="J45" s="65"/>
      <c r="K45" s="65"/>
      <c r="L45" s="65"/>
    </row>
    <row r="46" spans="1:14" s="66" customFormat="1" ht="19.5" customHeight="1" x14ac:dyDescent="0.3">
      <c r="A46" s="145" t="s">
        <v>53</v>
      </c>
      <c r="B46" s="146"/>
      <c r="C46" s="140" t="s">
        <v>54</v>
      </c>
      <c r="D46" s="147">
        <f>D45/$B$45</f>
        <v>3.0714079999999998E-2</v>
      </c>
      <c r="E46" s="148"/>
      <c r="F46" s="149">
        <f>F45/$B$45</f>
        <v>3.3603420000000002E-2</v>
      </c>
      <c r="G46" s="65"/>
      <c r="H46" s="137"/>
      <c r="I46" s="65"/>
      <c r="J46" s="65"/>
      <c r="K46" s="65"/>
      <c r="L46" s="65"/>
    </row>
    <row r="47" spans="1:14" s="66" customFormat="1" ht="27" customHeight="1" x14ac:dyDescent="0.4">
      <c r="A47" s="150"/>
      <c r="B47" s="151"/>
      <c r="C47" s="152" t="s">
        <v>55</v>
      </c>
      <c r="D47" s="153">
        <v>3.2000000000000001E-2</v>
      </c>
      <c r="E47" s="154"/>
      <c r="F47" s="148"/>
      <c r="G47" s="65"/>
      <c r="H47" s="137"/>
      <c r="I47" s="65"/>
      <c r="J47" s="65"/>
      <c r="K47" s="65"/>
      <c r="L47" s="65"/>
    </row>
    <row r="48" spans="1:14" s="66" customFormat="1" ht="18.75" x14ac:dyDescent="0.3">
      <c r="A48" s="65"/>
      <c r="B48" s="65"/>
      <c r="C48" s="155" t="s">
        <v>56</v>
      </c>
      <c r="D48" s="143">
        <f>D47*$B$45</f>
        <v>16</v>
      </c>
      <c r="E48" s="65"/>
      <c r="F48" s="156"/>
      <c r="G48" s="65"/>
      <c r="H48" s="137"/>
      <c r="I48" s="65"/>
      <c r="J48" s="65"/>
      <c r="K48" s="65"/>
      <c r="L48" s="65"/>
    </row>
    <row r="49" spans="1:12" s="66" customFormat="1" ht="19.5" customHeight="1" x14ac:dyDescent="0.3">
      <c r="A49" s="65"/>
      <c r="B49" s="65"/>
      <c r="C49" s="157" t="s">
        <v>57</v>
      </c>
      <c r="D49" s="158">
        <f>D48/B34</f>
        <v>16</v>
      </c>
      <c r="E49" s="65"/>
      <c r="F49" s="156"/>
      <c r="G49" s="65"/>
      <c r="H49" s="137"/>
      <c r="I49" s="65"/>
      <c r="J49" s="65"/>
      <c r="K49" s="65"/>
      <c r="L49" s="65"/>
    </row>
    <row r="50" spans="1:12" s="66" customFormat="1" ht="18.75" x14ac:dyDescent="0.3">
      <c r="A50" s="65"/>
      <c r="B50" s="65"/>
      <c r="C50" s="106" t="s">
        <v>58</v>
      </c>
      <c r="D50" s="159">
        <f>AVERAGE(E38:E41,G38:G41)</f>
        <v>475960.80840740638</v>
      </c>
      <c r="E50" s="65"/>
      <c r="F50" s="160"/>
      <c r="G50" s="65"/>
      <c r="H50" s="137"/>
      <c r="I50" s="65"/>
      <c r="J50" s="65"/>
      <c r="K50" s="65"/>
      <c r="L50" s="65"/>
    </row>
    <row r="51" spans="1:12" s="66" customFormat="1" ht="18.75" x14ac:dyDescent="0.3">
      <c r="A51" s="65"/>
      <c r="B51" s="65"/>
      <c r="C51" s="111" t="s">
        <v>59</v>
      </c>
      <c r="D51" s="161">
        <f>STDEV(E38:E41,G38:G41)/D50</f>
        <v>1.3131290026618858E-2</v>
      </c>
      <c r="E51" s="65"/>
      <c r="F51" s="160"/>
      <c r="G51" s="65"/>
      <c r="H51" s="137"/>
      <c r="I51" s="65"/>
      <c r="J51" s="65"/>
      <c r="K51" s="65"/>
      <c r="L51" s="65"/>
    </row>
    <row r="52" spans="1:12" s="66" customFormat="1" ht="19.5" customHeight="1" x14ac:dyDescent="0.3">
      <c r="A52" s="65"/>
      <c r="B52" s="65"/>
      <c r="C52" s="162" t="s">
        <v>8</v>
      </c>
      <c r="D52" s="163">
        <f>COUNT(E38:E41,G38:G41)</f>
        <v>6</v>
      </c>
      <c r="E52" s="65"/>
      <c r="F52" s="160"/>
      <c r="G52" s="65"/>
      <c r="H52" s="65"/>
      <c r="I52" s="65"/>
      <c r="J52" s="65"/>
      <c r="K52" s="65"/>
      <c r="L52" s="65"/>
    </row>
    <row r="53" spans="1:12" s="66" customForma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</row>
    <row r="54" spans="1:12" s="66" customFormat="1" ht="18.75" x14ac:dyDescent="0.3">
      <c r="A54" s="164" t="s">
        <v>0</v>
      </c>
      <c r="B54" s="165" t="s">
        <v>60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</row>
    <row r="55" spans="1:12" s="66" customFormat="1" ht="18.75" x14ac:dyDescent="0.3">
      <c r="A55" s="68" t="s">
        <v>61</v>
      </c>
      <c r="B55" s="166" t="str">
        <f>B21</f>
        <v>Each tablet contains  Trimethoprim 160 mg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</row>
    <row r="56" spans="1:12" s="66" customFormat="1" ht="26.25" customHeight="1" x14ac:dyDescent="0.4">
      <c r="A56" s="166" t="s">
        <v>62</v>
      </c>
      <c r="B56" s="167">
        <v>160</v>
      </c>
      <c r="C56" s="68" t="str">
        <f>B20</f>
        <v>Trimethoprim BP</v>
      </c>
      <c r="D56" s="65"/>
      <c r="E56" s="65"/>
      <c r="F56" s="65"/>
      <c r="G56" s="65"/>
      <c r="H56" s="142"/>
      <c r="I56" s="65"/>
      <c r="J56" s="65"/>
      <c r="K56" s="65"/>
      <c r="L56" s="65"/>
    </row>
    <row r="57" spans="1:12" s="66" customFormat="1" ht="18.75" x14ac:dyDescent="0.3">
      <c r="A57" s="166" t="s">
        <v>63</v>
      </c>
      <c r="B57" s="168">
        <f>Uniformity!C46</f>
        <v>1084.9745</v>
      </c>
      <c r="C57" s="65"/>
      <c r="D57" s="65"/>
      <c r="E57" s="65"/>
      <c r="F57" s="65"/>
      <c r="G57" s="65"/>
      <c r="H57" s="142"/>
      <c r="I57" s="65"/>
      <c r="J57" s="65"/>
      <c r="K57" s="65"/>
      <c r="L57" s="65"/>
    </row>
    <row r="58" spans="1:12" s="66" customFormat="1" ht="19.5" customHeight="1" x14ac:dyDescent="0.3">
      <c r="A58" s="65"/>
      <c r="B58" s="65"/>
      <c r="C58" s="65"/>
      <c r="D58" s="65"/>
      <c r="E58" s="65"/>
      <c r="F58" s="65"/>
      <c r="G58" s="65"/>
      <c r="H58" s="142"/>
      <c r="I58" s="65"/>
      <c r="J58" s="65"/>
      <c r="K58" s="65"/>
      <c r="L58" s="65"/>
    </row>
    <row r="59" spans="1:12" s="92" customFormat="1" ht="27" customHeight="1" x14ac:dyDescent="0.4">
      <c r="A59" s="106" t="s">
        <v>64</v>
      </c>
      <c r="B59" s="107">
        <v>100</v>
      </c>
      <c r="C59" s="68"/>
      <c r="D59" s="169" t="s">
        <v>65</v>
      </c>
      <c r="E59" s="170" t="s">
        <v>44</v>
      </c>
      <c r="F59" s="170" t="s">
        <v>45</v>
      </c>
      <c r="G59" s="170" t="s">
        <v>66</v>
      </c>
      <c r="H59" s="113" t="s">
        <v>67</v>
      </c>
      <c r="L59" s="93"/>
    </row>
    <row r="60" spans="1:12" s="92" customFormat="1" ht="26.25" customHeight="1" x14ac:dyDescent="0.4">
      <c r="A60" s="111" t="s">
        <v>111</v>
      </c>
      <c r="B60" s="112">
        <v>2</v>
      </c>
      <c r="C60" s="171" t="s">
        <v>68</v>
      </c>
      <c r="D60" s="172">
        <v>1080.33</v>
      </c>
      <c r="E60" s="173">
        <v>1</v>
      </c>
      <c r="F60" s="174">
        <v>477489</v>
      </c>
      <c r="G60" s="175">
        <f>IF(ISBLANK(F60),"-",(F60/$D$50*$D$47*$B$68)*($B$57/$D$60))</f>
        <v>161.20379259659404</v>
      </c>
      <c r="H60" s="176">
        <f t="shared" ref="H60:H71" si="0">IF(ISBLANK(F60),"-",(G60/$B$56)*100)</f>
        <v>100.75237037287128</v>
      </c>
      <c r="L60" s="93"/>
    </row>
    <row r="61" spans="1:12" s="92" customFormat="1" ht="26.25" customHeight="1" x14ac:dyDescent="0.4">
      <c r="A61" s="111" t="s">
        <v>112</v>
      </c>
      <c r="B61" s="112">
        <v>100</v>
      </c>
      <c r="C61" s="177"/>
      <c r="D61" s="178"/>
      <c r="E61" s="179">
        <v>2</v>
      </c>
      <c r="F61" s="124">
        <v>475707</v>
      </c>
      <c r="G61" s="180">
        <f>IF(ISBLANK(F61),"-",(F61/$D$50*$D$47*$B$68)*($B$57/$D$60))</f>
        <v>160.60217631138718</v>
      </c>
      <c r="H61" s="181">
        <f t="shared" si="0"/>
        <v>100.37636019461699</v>
      </c>
      <c r="L61" s="93"/>
    </row>
    <row r="62" spans="1:12" s="92" customFormat="1" ht="26.25" customHeight="1" x14ac:dyDescent="0.4">
      <c r="A62" s="111" t="s">
        <v>113</v>
      </c>
      <c r="B62" s="112">
        <v>1</v>
      </c>
      <c r="C62" s="177"/>
      <c r="D62" s="178"/>
      <c r="E62" s="179">
        <v>3</v>
      </c>
      <c r="F62" s="182">
        <v>475581</v>
      </c>
      <c r="G62" s="180">
        <f>IF(ISBLANK(F62),"-",(F62/$D$50*$D$47*$B$68)*($B$57/$D$60))</f>
        <v>160.55963778617053</v>
      </c>
      <c r="H62" s="181">
        <f t="shared" si="0"/>
        <v>100.34977361635657</v>
      </c>
      <c r="L62" s="93"/>
    </row>
    <row r="63" spans="1:12" s="66" customFormat="1" ht="27" customHeight="1" x14ac:dyDescent="0.4">
      <c r="A63" s="111" t="s">
        <v>114</v>
      </c>
      <c r="B63" s="112">
        <v>1</v>
      </c>
      <c r="C63" s="183"/>
      <c r="D63" s="184"/>
      <c r="E63" s="185">
        <v>4</v>
      </c>
      <c r="F63" s="186"/>
      <c r="G63" s="180" t="str">
        <f>IF(ISBLANK(F63),"-",(F63/$D$50*$D$47*$B$68)*($B$57/$D$60))</f>
        <v>-</v>
      </c>
      <c r="H63" s="181" t="str">
        <f t="shared" si="0"/>
        <v>-</v>
      </c>
      <c r="I63" s="65"/>
      <c r="J63" s="65"/>
      <c r="K63" s="65"/>
      <c r="L63" s="65"/>
    </row>
    <row r="64" spans="1:12" s="66" customFormat="1" ht="26.25" customHeight="1" x14ac:dyDescent="0.4">
      <c r="A64" s="111" t="s">
        <v>115</v>
      </c>
      <c r="B64" s="112">
        <v>1</v>
      </c>
      <c r="C64" s="171" t="s">
        <v>69</v>
      </c>
      <c r="D64" s="172">
        <v>1107.3399999999999</v>
      </c>
      <c r="E64" s="173">
        <v>1</v>
      </c>
      <c r="F64" s="174">
        <v>488632</v>
      </c>
      <c r="G64" s="175">
        <f>IF(ISBLANK(F64),"-",(F64/$D$50*$D$47*$B$68)*($B$57/$D$64))</f>
        <v>160.94194196451636</v>
      </c>
      <c r="H64" s="176">
        <f t="shared" si="0"/>
        <v>100.58871372782272</v>
      </c>
      <c r="I64" s="65"/>
      <c r="J64" s="65"/>
      <c r="K64" s="65"/>
      <c r="L64" s="65"/>
    </row>
    <row r="65" spans="1:12" s="66" customFormat="1" ht="26.25" customHeight="1" x14ac:dyDescent="0.4">
      <c r="A65" s="111" t="s">
        <v>116</v>
      </c>
      <c r="B65" s="112">
        <v>1</v>
      </c>
      <c r="C65" s="177"/>
      <c r="D65" s="178"/>
      <c r="E65" s="179">
        <v>2</v>
      </c>
      <c r="F65" s="124">
        <v>492138</v>
      </c>
      <c r="G65" s="180">
        <f>IF(ISBLANK(F65),"-",(F65/$D$50*$D$47*$B$68)*($B$57/$D$64))</f>
        <v>162.09672193907306</v>
      </c>
      <c r="H65" s="181">
        <f t="shared" si="0"/>
        <v>101.31045121192066</v>
      </c>
      <c r="I65" s="65"/>
      <c r="J65" s="65"/>
      <c r="K65" s="65"/>
      <c r="L65" s="65"/>
    </row>
    <row r="66" spans="1:12" s="66" customFormat="1" ht="26.25" customHeight="1" x14ac:dyDescent="0.4">
      <c r="A66" s="111" t="s">
        <v>117</v>
      </c>
      <c r="B66" s="112">
        <v>1</v>
      </c>
      <c r="C66" s="177"/>
      <c r="D66" s="178"/>
      <c r="E66" s="179">
        <v>3</v>
      </c>
      <c r="F66" s="124">
        <v>491215</v>
      </c>
      <c r="G66" s="180">
        <f>IF(ISBLANK(F66),"-",(F66/$D$50*$D$47*$B$68)*($B$57/$D$64))</f>
        <v>161.79271112432241</v>
      </c>
      <c r="H66" s="181">
        <f t="shared" si="0"/>
        <v>101.12044445270149</v>
      </c>
      <c r="I66" s="65"/>
      <c r="J66" s="65"/>
      <c r="K66" s="65"/>
      <c r="L66" s="65"/>
    </row>
    <row r="67" spans="1:12" s="66" customFormat="1" ht="27" customHeight="1" x14ac:dyDescent="0.4">
      <c r="A67" s="111" t="s">
        <v>118</v>
      </c>
      <c r="B67" s="112">
        <v>1</v>
      </c>
      <c r="C67" s="183"/>
      <c r="D67" s="184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  <c r="I67" s="65"/>
      <c r="J67" s="65"/>
      <c r="K67" s="65"/>
      <c r="L67" s="65"/>
    </row>
    <row r="68" spans="1:12" s="66" customFormat="1" ht="26.25" customHeight="1" x14ac:dyDescent="0.4">
      <c r="A68" s="111" t="s">
        <v>70</v>
      </c>
      <c r="B68" s="189">
        <f>(B67/B66)*(B65/B64)*(B63/B62)*(B61/B60)*B59</f>
        <v>5000</v>
      </c>
      <c r="C68" s="171" t="s">
        <v>71</v>
      </c>
      <c r="D68" s="172">
        <v>1070.96</v>
      </c>
      <c r="E68" s="173">
        <v>1</v>
      </c>
      <c r="F68" s="174">
        <v>475749</v>
      </c>
      <c r="G68" s="175">
        <f>IF(ISBLANK(F68),"-",(F68/$D$50*$D$47*$B$68)*($B$57/$D$68))</f>
        <v>162.0216139564472</v>
      </c>
      <c r="H68" s="181">
        <f t="shared" si="0"/>
        <v>101.26350872277949</v>
      </c>
      <c r="I68" s="65"/>
      <c r="J68" s="65"/>
      <c r="K68" s="65"/>
      <c r="L68" s="65"/>
    </row>
    <row r="69" spans="1:12" s="66" customFormat="1" ht="27" customHeight="1" x14ac:dyDescent="0.4">
      <c r="A69" s="162" t="s">
        <v>72</v>
      </c>
      <c r="B69" s="190">
        <f>(D47*B68)/B56*B57</f>
        <v>1084.9745</v>
      </c>
      <c r="C69" s="177"/>
      <c r="D69" s="178"/>
      <c r="E69" s="179">
        <v>2</v>
      </c>
      <c r="F69" s="124">
        <v>475704</v>
      </c>
      <c r="G69" s="180">
        <f>IF(ISBLANK(F69),"-",(F69/$D$50*$D$47*$B$68)*($B$57/$D$68))</f>
        <v>162.00628870588849</v>
      </c>
      <c r="H69" s="181">
        <f t="shared" si="0"/>
        <v>101.25393044118032</v>
      </c>
      <c r="I69" s="65"/>
      <c r="J69" s="65"/>
      <c r="K69" s="65"/>
      <c r="L69" s="65"/>
    </row>
    <row r="70" spans="1:12" s="66" customFormat="1" ht="26.25" customHeight="1" x14ac:dyDescent="0.4">
      <c r="A70" s="191" t="s">
        <v>53</v>
      </c>
      <c r="B70" s="192"/>
      <c r="C70" s="177"/>
      <c r="D70" s="178"/>
      <c r="E70" s="179">
        <v>3</v>
      </c>
      <c r="F70" s="124">
        <v>474960</v>
      </c>
      <c r="G70" s="180">
        <f>IF(ISBLANK(F70),"-",(F70/$D$50*$D$47*$B$68)*($B$57/$D$68))</f>
        <v>161.75291122998502</v>
      </c>
      <c r="H70" s="181">
        <f t="shared" si="0"/>
        <v>101.09556951874063</v>
      </c>
      <c r="I70" s="65"/>
      <c r="J70" s="65"/>
      <c r="K70" s="65"/>
      <c r="L70" s="65"/>
    </row>
    <row r="71" spans="1:12" s="66" customFormat="1" ht="27" customHeight="1" x14ac:dyDescent="0.4">
      <c r="A71" s="193"/>
      <c r="B71" s="194"/>
      <c r="C71" s="195"/>
      <c r="D71" s="184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  <c r="I71" s="65"/>
      <c r="J71" s="65"/>
      <c r="K71" s="65"/>
      <c r="L71" s="65"/>
    </row>
    <row r="72" spans="1:12" s="66" customFormat="1" ht="26.25" customHeight="1" x14ac:dyDescent="0.4">
      <c r="A72" s="142"/>
      <c r="B72" s="142"/>
      <c r="C72" s="142"/>
      <c r="D72" s="142"/>
      <c r="E72" s="142"/>
      <c r="F72" s="196" t="s">
        <v>48</v>
      </c>
      <c r="G72" s="197">
        <f>AVERAGE(G60:G71)</f>
        <v>161.44197729048716</v>
      </c>
      <c r="H72" s="198">
        <f>AVERAGE(H60:H71)</f>
        <v>100.90123580655445</v>
      </c>
      <c r="I72" s="65"/>
      <c r="J72" s="65"/>
      <c r="K72" s="65"/>
      <c r="L72" s="65"/>
    </row>
    <row r="73" spans="1:12" s="66" customFormat="1" ht="26.25" customHeight="1" x14ac:dyDescent="0.4">
      <c r="A73" s="65"/>
      <c r="B73" s="65"/>
      <c r="C73" s="142"/>
      <c r="D73" s="142"/>
      <c r="E73" s="142"/>
      <c r="F73" s="199" t="s">
        <v>59</v>
      </c>
      <c r="G73" s="200">
        <f>STDEV(G60:G71)/G72</f>
        <v>3.851715851206498E-3</v>
      </c>
      <c r="H73" s="200">
        <f>STDEV(H60:H71)/H72</f>
        <v>3.8517158512064924E-3</v>
      </c>
      <c r="I73" s="65"/>
      <c r="J73" s="65"/>
      <c r="K73" s="65"/>
      <c r="L73" s="65"/>
    </row>
    <row r="74" spans="1:12" s="66" customFormat="1" ht="27" customHeight="1" x14ac:dyDescent="0.4">
      <c r="A74" s="142"/>
      <c r="B74" s="142"/>
      <c r="C74" s="142"/>
      <c r="D74" s="142"/>
      <c r="E74" s="144"/>
      <c r="F74" s="201" t="s">
        <v>8</v>
      </c>
      <c r="G74" s="202">
        <f>COUNT(G60:G71)</f>
        <v>9</v>
      </c>
      <c r="H74" s="202">
        <f>COUNT(H60:H71)</f>
        <v>9</v>
      </c>
      <c r="I74" s="65"/>
      <c r="J74" s="65"/>
      <c r="K74" s="65"/>
      <c r="L74" s="65"/>
    </row>
    <row r="75" spans="1:12" s="66" customFormat="1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</row>
    <row r="76" spans="1:12" s="66" customFormat="1" ht="26.25" customHeight="1" x14ac:dyDescent="0.4">
      <c r="A76" s="84" t="s">
        <v>73</v>
      </c>
      <c r="B76" s="85" t="s">
        <v>74</v>
      </c>
      <c r="C76" s="203" t="str">
        <f>B26</f>
        <v>Trimethoprim</v>
      </c>
      <c r="D76" s="203"/>
      <c r="E76" s="68" t="s">
        <v>75</v>
      </c>
      <c r="F76" s="68"/>
      <c r="G76" s="289">
        <f>H72</f>
        <v>100.90123580655445</v>
      </c>
      <c r="H76" s="94"/>
      <c r="I76" s="65"/>
      <c r="J76" s="65"/>
      <c r="K76" s="65"/>
      <c r="L76" s="65"/>
    </row>
    <row r="77" spans="1:12" s="66" customFormat="1" ht="18.75" x14ac:dyDescent="0.3">
      <c r="A77" s="83" t="s">
        <v>76</v>
      </c>
      <c r="B77" s="83" t="s">
        <v>77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</row>
    <row r="78" spans="1:12" s="66" customFormat="1" ht="18.75" x14ac:dyDescent="0.3">
      <c r="A78" s="83"/>
      <c r="B78" s="83"/>
      <c r="C78" s="65"/>
      <c r="D78" s="65"/>
      <c r="E78" s="65"/>
      <c r="F78" s="65"/>
      <c r="G78" s="65"/>
      <c r="H78" s="65"/>
      <c r="I78" s="65"/>
      <c r="J78" s="65"/>
      <c r="K78" s="65"/>
      <c r="L78" s="65"/>
    </row>
    <row r="79" spans="1:12" s="66" customFormat="1" ht="26.25" customHeight="1" x14ac:dyDescent="0.4">
      <c r="A79" s="84" t="s">
        <v>1</v>
      </c>
      <c r="B79" s="205" t="str">
        <f>B26</f>
        <v>Trimethoprim</v>
      </c>
      <c r="C79" s="205"/>
      <c r="D79" s="65"/>
      <c r="E79" s="65"/>
      <c r="F79" s="65"/>
      <c r="G79" s="65"/>
      <c r="H79" s="65"/>
      <c r="I79" s="65"/>
      <c r="J79" s="65"/>
      <c r="K79" s="65"/>
      <c r="L79" s="65"/>
    </row>
    <row r="80" spans="1:12" s="66" customFormat="1" ht="26.25" customHeight="1" x14ac:dyDescent="0.4">
      <c r="A80" s="85" t="s">
        <v>31</v>
      </c>
      <c r="B80" s="205" t="str">
        <f>B27</f>
        <v>NQCL-NQCL-T7-4</v>
      </c>
      <c r="C80" s="205"/>
      <c r="D80" s="65"/>
      <c r="E80" s="65"/>
      <c r="F80" s="65"/>
      <c r="G80" s="65"/>
      <c r="H80" s="65"/>
      <c r="I80" s="65"/>
      <c r="J80" s="65"/>
      <c r="K80" s="65"/>
      <c r="L80" s="65"/>
    </row>
    <row r="81" spans="1:12" s="66" customFormat="1" ht="27" customHeight="1" x14ac:dyDescent="0.4">
      <c r="A81" s="85" t="s">
        <v>3</v>
      </c>
      <c r="B81" s="87">
        <f>B28</f>
        <v>99.3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</row>
    <row r="82" spans="1:12" s="92" customFormat="1" ht="27" customHeight="1" x14ac:dyDescent="0.4">
      <c r="A82" s="85" t="s">
        <v>32</v>
      </c>
      <c r="B82" s="88">
        <v>0.35</v>
      </c>
      <c r="C82" s="89" t="s">
        <v>33</v>
      </c>
      <c r="D82" s="90"/>
      <c r="E82" s="90"/>
      <c r="F82" s="90"/>
      <c r="G82" s="91"/>
      <c r="I82" s="93"/>
      <c r="J82" s="93"/>
      <c r="K82" s="93"/>
      <c r="L82" s="93"/>
    </row>
    <row r="83" spans="1:12" s="92" customFormat="1" ht="19.5" customHeight="1" x14ac:dyDescent="0.3">
      <c r="A83" s="85" t="s">
        <v>34</v>
      </c>
      <c r="B83" s="94">
        <f>B81-B82</f>
        <v>98.95</v>
      </c>
      <c r="C83" s="95"/>
      <c r="D83" s="95"/>
      <c r="E83" s="95"/>
      <c r="F83" s="95"/>
      <c r="G83" s="96"/>
      <c r="I83" s="93"/>
      <c r="J83" s="93"/>
      <c r="K83" s="93"/>
      <c r="L83" s="93"/>
    </row>
    <row r="84" spans="1:12" s="92" customFormat="1" ht="27" customHeight="1" x14ac:dyDescent="0.4">
      <c r="A84" s="85" t="s">
        <v>35</v>
      </c>
      <c r="B84" s="97">
        <v>1</v>
      </c>
      <c r="C84" s="98" t="s">
        <v>78</v>
      </c>
      <c r="D84" s="99"/>
      <c r="E84" s="99"/>
      <c r="F84" s="99"/>
      <c r="G84" s="99"/>
      <c r="H84" s="100"/>
      <c r="I84" s="93"/>
      <c r="J84" s="93"/>
      <c r="K84" s="93"/>
      <c r="L84" s="93"/>
    </row>
    <row r="85" spans="1:12" s="92" customFormat="1" ht="27" customHeight="1" x14ac:dyDescent="0.4">
      <c r="A85" s="85" t="s">
        <v>37</v>
      </c>
      <c r="B85" s="97">
        <v>1</v>
      </c>
      <c r="C85" s="98" t="s">
        <v>79</v>
      </c>
      <c r="D85" s="99"/>
      <c r="E85" s="99"/>
      <c r="F85" s="99"/>
      <c r="G85" s="99"/>
      <c r="H85" s="100"/>
      <c r="I85" s="93"/>
      <c r="J85" s="93"/>
      <c r="K85" s="93"/>
      <c r="L85" s="93"/>
    </row>
    <row r="86" spans="1:12" s="92" customFormat="1" ht="18.75" x14ac:dyDescent="0.3">
      <c r="A86" s="85"/>
      <c r="B86" s="103"/>
      <c r="C86" s="104"/>
      <c r="D86" s="104"/>
      <c r="E86" s="104"/>
      <c r="F86" s="104"/>
      <c r="G86" s="104"/>
      <c r="H86" s="104"/>
      <c r="I86" s="93"/>
      <c r="J86" s="93"/>
      <c r="K86" s="93"/>
      <c r="L86" s="93"/>
    </row>
    <row r="87" spans="1:12" s="92" customFormat="1" ht="18.75" x14ac:dyDescent="0.3">
      <c r="A87" s="85" t="s">
        <v>39</v>
      </c>
      <c r="B87" s="105">
        <f>B84/B85</f>
        <v>1</v>
      </c>
      <c r="C87" s="68" t="s">
        <v>40</v>
      </c>
      <c r="D87" s="68"/>
      <c r="E87" s="68"/>
      <c r="F87" s="68"/>
      <c r="G87" s="68"/>
      <c r="I87" s="93"/>
      <c r="J87" s="93"/>
      <c r="K87" s="93"/>
      <c r="L87" s="93"/>
    </row>
    <row r="88" spans="1:12" s="66" customFormat="1" ht="19.5" customHeight="1" x14ac:dyDescent="0.3">
      <c r="A88" s="83"/>
      <c r="B88" s="83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 spans="1:12" s="66" customFormat="1" ht="27" customHeight="1" thickBot="1" x14ac:dyDescent="0.45">
      <c r="A89" s="106" t="s">
        <v>41</v>
      </c>
      <c r="B89" s="107">
        <v>20</v>
      </c>
      <c r="C89" s="65"/>
      <c r="D89" s="206" t="s">
        <v>42</v>
      </c>
      <c r="E89" s="207"/>
      <c r="F89" s="108" t="s">
        <v>43</v>
      </c>
      <c r="G89" s="110"/>
      <c r="H89" s="65"/>
      <c r="I89" s="65"/>
      <c r="J89" s="65"/>
      <c r="K89" s="65"/>
      <c r="L89" s="65"/>
    </row>
    <row r="90" spans="1:12" s="66" customFormat="1" ht="27" customHeight="1" thickBot="1" x14ac:dyDescent="0.45">
      <c r="A90" s="111" t="s">
        <v>103</v>
      </c>
      <c r="B90" s="208">
        <v>4</v>
      </c>
      <c r="C90" s="209" t="s">
        <v>44</v>
      </c>
      <c r="D90" s="210" t="s">
        <v>45</v>
      </c>
      <c r="E90" s="115" t="s">
        <v>46</v>
      </c>
      <c r="F90" s="211" t="s">
        <v>45</v>
      </c>
      <c r="G90" s="212" t="s">
        <v>46</v>
      </c>
      <c r="H90" s="65"/>
      <c r="I90" s="117" t="s">
        <v>47</v>
      </c>
      <c r="J90" s="65"/>
      <c r="K90" s="65"/>
      <c r="L90" s="65"/>
    </row>
    <row r="91" spans="1:12" s="66" customFormat="1" ht="26.25" customHeight="1" x14ac:dyDescent="0.4">
      <c r="A91" s="111" t="s">
        <v>104</v>
      </c>
      <c r="B91" s="208">
        <v>100</v>
      </c>
      <c r="C91" s="213">
        <v>1</v>
      </c>
      <c r="D91" s="214">
        <f>D38</f>
        <v>463592</v>
      </c>
      <c r="E91" s="215">
        <f>IF(ISBLANK(D91),"-",$D$101/$D$98*D91)</f>
        <v>536668.23525598401</v>
      </c>
      <c r="F91" s="216">
        <f>F38</f>
        <v>493449</v>
      </c>
      <c r="G91" s="217">
        <f>IF(ISBLANK(F91),"-",$D$101/$F$98*F91)</f>
        <v>522115.11010883225</v>
      </c>
      <c r="H91" s="65"/>
      <c r="I91" s="122"/>
      <c r="J91" s="65"/>
      <c r="K91" s="65"/>
      <c r="L91" s="65"/>
    </row>
    <row r="92" spans="1:12" s="66" customFormat="1" ht="26.25" customHeight="1" x14ac:dyDescent="0.4">
      <c r="A92" s="111" t="s">
        <v>105</v>
      </c>
      <c r="B92" s="208">
        <v>1</v>
      </c>
      <c r="C92" s="218">
        <v>2</v>
      </c>
      <c r="D92" s="219">
        <f t="shared" ref="D92:D94" si="1">D39</f>
        <v>461226</v>
      </c>
      <c r="E92" s="220">
        <f>IF(ISBLANK(D92),"-",$D$101/$D$98*D92)</f>
        <v>533929.28151084681</v>
      </c>
      <c r="F92" s="221">
        <f t="shared" ref="F92:F94" si="2">F39</f>
        <v>494400</v>
      </c>
      <c r="G92" s="222">
        <f>IF(ISBLANK(F92),"-",$D$101/$F$98*F92)</f>
        <v>523121.35689363373</v>
      </c>
      <c r="H92" s="65"/>
      <c r="I92" s="127">
        <f>ABS((F96/D96*D95)-F95)/D95</f>
        <v>2.5681311034455988E-2</v>
      </c>
      <c r="J92" s="65"/>
      <c r="K92" s="65"/>
      <c r="L92" s="65"/>
    </row>
    <row r="93" spans="1:12" s="66" customFormat="1" ht="26.25" customHeight="1" x14ac:dyDescent="0.4">
      <c r="A93" s="111" t="s">
        <v>106</v>
      </c>
      <c r="B93" s="208">
        <v>1</v>
      </c>
      <c r="C93" s="218">
        <v>3</v>
      </c>
      <c r="D93" s="219">
        <f t="shared" si="1"/>
        <v>461961</v>
      </c>
      <c r="E93" s="220">
        <f>IF(ISBLANK(D93),"-",$D$101/$D$98*D93)</f>
        <v>534780.13992279768</v>
      </c>
      <c r="F93" s="221">
        <f t="shared" si="2"/>
        <v>493773</v>
      </c>
      <c r="G93" s="222">
        <f>IF(ISBLANK(F93),"-",$D$101/$F$98*F93)</f>
        <v>522457.93235728197</v>
      </c>
      <c r="H93" s="65"/>
      <c r="I93" s="127"/>
      <c r="J93" s="65"/>
      <c r="K93" s="65"/>
      <c r="L93" s="65"/>
    </row>
    <row r="94" spans="1:12" s="66" customFormat="1" ht="27" customHeight="1" thickBot="1" x14ac:dyDescent="0.45">
      <c r="A94" s="111" t="s">
        <v>107</v>
      </c>
      <c r="B94" s="208">
        <v>1</v>
      </c>
      <c r="C94" s="223">
        <v>4</v>
      </c>
      <c r="D94" s="224"/>
      <c r="E94" s="225" t="str">
        <f>IF(ISBLANK(D94),"-",$D$101/$D$98*D94)</f>
        <v>-</v>
      </c>
      <c r="F94" s="226"/>
      <c r="G94" s="227" t="str">
        <f>IF(ISBLANK(F94),"-",$D$101/$F$98*F94)</f>
        <v>-</v>
      </c>
      <c r="H94" s="65"/>
      <c r="I94" s="132"/>
      <c r="J94" s="65"/>
      <c r="K94" s="65"/>
      <c r="L94" s="65"/>
    </row>
    <row r="95" spans="1:12" s="66" customFormat="1" ht="27" customHeight="1" thickBot="1" x14ac:dyDescent="0.45">
      <c r="A95" s="111" t="s">
        <v>108</v>
      </c>
      <c r="B95" s="208">
        <v>1</v>
      </c>
      <c r="C95" s="228" t="s">
        <v>48</v>
      </c>
      <c r="D95" s="229">
        <f>AVERAGE(D91:D94)</f>
        <v>462259.66666666669</v>
      </c>
      <c r="E95" s="135">
        <f>AVERAGE(E91:E94)</f>
        <v>535125.88556320954</v>
      </c>
      <c r="F95" s="230">
        <f>AVERAGE(F91:F94)</f>
        <v>493874</v>
      </c>
      <c r="G95" s="231">
        <f>AVERAGE(G91:G94)</f>
        <v>522564.79978658265</v>
      </c>
      <c r="H95" s="65"/>
      <c r="I95" s="65"/>
      <c r="J95" s="65"/>
      <c r="K95" s="65"/>
      <c r="L95" s="65"/>
    </row>
    <row r="96" spans="1:12" s="66" customFormat="1" ht="26.25" customHeight="1" x14ac:dyDescent="0.4">
      <c r="A96" s="111" t="s">
        <v>109</v>
      </c>
      <c r="B96" s="87">
        <v>1</v>
      </c>
      <c r="C96" s="232" t="s">
        <v>80</v>
      </c>
      <c r="D96" s="233">
        <f>D43</f>
        <v>15.52</v>
      </c>
      <c r="E96" s="68"/>
      <c r="F96" s="139">
        <f>F43</f>
        <v>16.98</v>
      </c>
      <c r="G96" s="65"/>
      <c r="H96" s="65"/>
      <c r="I96" s="65"/>
      <c r="J96" s="65"/>
      <c r="K96" s="65"/>
      <c r="L96" s="65"/>
    </row>
    <row r="97" spans="1:12" s="66" customFormat="1" ht="26.25" customHeight="1" x14ac:dyDescent="0.4">
      <c r="A97" s="111" t="s">
        <v>110</v>
      </c>
      <c r="B97" s="87">
        <v>1</v>
      </c>
      <c r="C97" s="234" t="s">
        <v>81</v>
      </c>
      <c r="D97" s="235">
        <f>D96*$B$87</f>
        <v>15.52</v>
      </c>
      <c r="E97" s="142"/>
      <c r="F97" s="141">
        <f>F96*$B$87</f>
        <v>16.98</v>
      </c>
      <c r="G97" s="65"/>
      <c r="H97" s="65"/>
      <c r="I97" s="65"/>
      <c r="J97" s="65"/>
      <c r="K97" s="65"/>
      <c r="L97" s="65"/>
    </row>
    <row r="98" spans="1:12" s="66" customFormat="1" ht="19.5" customHeight="1" x14ac:dyDescent="0.3">
      <c r="A98" s="111" t="s">
        <v>51</v>
      </c>
      <c r="B98" s="142">
        <f>(B97/B96)*(B95/B94)*(B93/B92)*(B91/B90)*B89</f>
        <v>500</v>
      </c>
      <c r="C98" s="234" t="s">
        <v>82</v>
      </c>
      <c r="D98" s="236">
        <f>D97*$B$83/100</f>
        <v>15.35704</v>
      </c>
      <c r="E98" s="144"/>
      <c r="F98" s="143">
        <f>F97*$B$83/100</f>
        <v>16.80171</v>
      </c>
      <c r="G98" s="65"/>
      <c r="H98" s="65"/>
      <c r="I98" s="65"/>
      <c r="J98" s="65"/>
      <c r="K98" s="65"/>
      <c r="L98" s="65"/>
    </row>
    <row r="99" spans="1:12" s="66" customFormat="1" ht="19.5" customHeight="1" x14ac:dyDescent="0.3">
      <c r="A99" s="145" t="s">
        <v>53</v>
      </c>
      <c r="B99" s="237"/>
      <c r="C99" s="234" t="s">
        <v>83</v>
      </c>
      <c r="D99" s="238">
        <f>D98/$B$98</f>
        <v>3.0714079999999998E-2</v>
      </c>
      <c r="E99" s="144"/>
      <c r="F99" s="149">
        <f>F98/$B$98</f>
        <v>3.3603420000000002E-2</v>
      </c>
      <c r="G99" s="65"/>
      <c r="H99" s="137"/>
      <c r="I99" s="65"/>
      <c r="J99" s="65"/>
      <c r="K99" s="65"/>
      <c r="L99" s="65"/>
    </row>
    <row r="100" spans="1:12" s="66" customFormat="1" ht="19.5" customHeight="1" x14ac:dyDescent="0.3">
      <c r="A100" s="150"/>
      <c r="B100" s="239"/>
      <c r="C100" s="234" t="s">
        <v>55</v>
      </c>
      <c r="D100" s="240">
        <f>$B$56/$B$116</f>
        <v>3.5555555555555556E-2</v>
      </c>
      <c r="E100" s="65"/>
      <c r="F100" s="156"/>
      <c r="G100" s="241"/>
      <c r="H100" s="137"/>
      <c r="I100" s="65"/>
      <c r="J100" s="65"/>
      <c r="K100" s="65"/>
      <c r="L100" s="65"/>
    </row>
    <row r="101" spans="1:12" s="66" customFormat="1" ht="18.75" x14ac:dyDescent="0.3">
      <c r="A101" s="65"/>
      <c r="B101" s="65"/>
      <c r="C101" s="234" t="s">
        <v>56</v>
      </c>
      <c r="D101" s="235">
        <f>D100*$B$98</f>
        <v>17.777777777777779</v>
      </c>
      <c r="E101" s="65"/>
      <c r="F101" s="156"/>
      <c r="G101" s="65"/>
      <c r="H101" s="137"/>
      <c r="I101" s="65"/>
      <c r="J101" s="65"/>
      <c r="K101" s="65"/>
      <c r="L101" s="65"/>
    </row>
    <row r="102" spans="1:12" s="66" customFormat="1" ht="19.5" customHeight="1" x14ac:dyDescent="0.3">
      <c r="A102" s="65"/>
      <c r="B102" s="65"/>
      <c r="C102" s="242" t="s">
        <v>57</v>
      </c>
      <c r="D102" s="243">
        <f>D101/B34</f>
        <v>17.777777777777779</v>
      </c>
      <c r="E102" s="65"/>
      <c r="F102" s="160"/>
      <c r="G102" s="65"/>
      <c r="H102" s="137"/>
      <c r="I102" s="65"/>
      <c r="J102" s="244"/>
      <c r="K102" s="65"/>
      <c r="L102" s="65"/>
    </row>
    <row r="103" spans="1:12" s="66" customFormat="1" ht="18.75" x14ac:dyDescent="0.3">
      <c r="A103" s="65"/>
      <c r="B103" s="65"/>
      <c r="C103" s="245" t="s">
        <v>84</v>
      </c>
      <c r="D103" s="246">
        <f>AVERAGE(E91:E94,G91:G94)</f>
        <v>528845.342674896</v>
      </c>
      <c r="E103" s="65"/>
      <c r="F103" s="160"/>
      <c r="G103" s="241"/>
      <c r="H103" s="137"/>
      <c r="I103" s="65"/>
      <c r="J103" s="247"/>
      <c r="K103" s="65"/>
      <c r="L103" s="65"/>
    </row>
    <row r="104" spans="1:12" s="66" customFormat="1" ht="18.75" x14ac:dyDescent="0.3">
      <c r="A104" s="65"/>
      <c r="B104" s="65"/>
      <c r="C104" s="199" t="s">
        <v>59</v>
      </c>
      <c r="D104" s="248">
        <f>STDEV(E91:E94,G91:G94)/D103</f>
        <v>1.3131290026618841E-2</v>
      </c>
      <c r="E104" s="65"/>
      <c r="F104" s="160"/>
      <c r="G104" s="65"/>
      <c r="H104" s="137"/>
      <c r="I104" s="65"/>
      <c r="J104" s="247"/>
      <c r="K104" s="65"/>
      <c r="L104" s="65"/>
    </row>
    <row r="105" spans="1:12" s="66" customFormat="1" ht="19.5" customHeight="1" x14ac:dyDescent="0.3">
      <c r="A105" s="65"/>
      <c r="B105" s="65"/>
      <c r="C105" s="201" t="s">
        <v>8</v>
      </c>
      <c r="D105" s="249">
        <f>COUNT(E91:E94,G91:G94)</f>
        <v>6</v>
      </c>
      <c r="E105" s="65"/>
      <c r="F105" s="160"/>
      <c r="G105" s="65"/>
      <c r="H105" s="137"/>
      <c r="I105" s="65"/>
      <c r="J105" s="247"/>
      <c r="K105" s="65"/>
      <c r="L105" s="65"/>
    </row>
    <row r="106" spans="1:12" s="66" customFormat="1" ht="19.5" customHeight="1" x14ac:dyDescent="0.3">
      <c r="A106" s="164"/>
      <c r="B106" s="164"/>
      <c r="C106" s="164"/>
      <c r="D106" s="164"/>
      <c r="E106" s="164"/>
      <c r="F106" s="65"/>
      <c r="G106" s="65"/>
      <c r="H106" s="65"/>
      <c r="I106" s="65"/>
      <c r="J106" s="65"/>
      <c r="K106" s="65"/>
      <c r="L106" s="65"/>
    </row>
    <row r="107" spans="1:12" s="66" customFormat="1" ht="27" customHeight="1" x14ac:dyDescent="0.4">
      <c r="A107" s="106" t="s">
        <v>85</v>
      </c>
      <c r="B107" s="107">
        <v>900</v>
      </c>
      <c r="C107" s="170" t="s">
        <v>86</v>
      </c>
      <c r="D107" s="170" t="s">
        <v>45</v>
      </c>
      <c r="E107" s="170" t="s">
        <v>87</v>
      </c>
      <c r="F107" s="250" t="s">
        <v>88</v>
      </c>
      <c r="G107" s="65"/>
      <c r="H107" s="65"/>
      <c r="I107" s="65"/>
      <c r="J107" s="65"/>
      <c r="K107" s="65"/>
      <c r="L107" s="65"/>
    </row>
    <row r="108" spans="1:12" s="66" customFormat="1" ht="26.25" customHeight="1" x14ac:dyDescent="0.4">
      <c r="A108" s="111" t="s">
        <v>119</v>
      </c>
      <c r="B108" s="112">
        <v>5</v>
      </c>
      <c r="C108" s="173">
        <v>1</v>
      </c>
      <c r="D108" s="251">
        <v>526863</v>
      </c>
      <c r="E108" s="252">
        <f t="shared" ref="E108:E113" si="3">IF(ISBLANK(D108),"-",D108/$D$103*$D$100*$B$116)</f>
        <v>159.40025031443204</v>
      </c>
      <c r="F108" s="253">
        <f t="shared" ref="F108:F113" si="4">IF(ISBLANK(D108), "-", (E108/$B$56)*100)</f>
        <v>99.625156446520023</v>
      </c>
      <c r="G108" s="65"/>
      <c r="H108" s="65"/>
      <c r="I108" s="65"/>
      <c r="J108" s="65"/>
      <c r="K108" s="65"/>
      <c r="L108" s="65"/>
    </row>
    <row r="109" spans="1:12" s="66" customFormat="1" ht="26.25" customHeight="1" x14ac:dyDescent="0.4">
      <c r="A109" s="111" t="s">
        <v>112</v>
      </c>
      <c r="B109" s="112">
        <v>25</v>
      </c>
      <c r="C109" s="179">
        <v>2</v>
      </c>
      <c r="D109" s="254">
        <v>528302</v>
      </c>
      <c r="E109" s="255">
        <f t="shared" si="3"/>
        <v>159.83561389130583</v>
      </c>
      <c r="F109" s="256">
        <f t="shared" si="4"/>
        <v>99.897258682066138</v>
      </c>
      <c r="G109" s="65"/>
      <c r="H109" s="65"/>
      <c r="I109" s="65"/>
      <c r="J109" s="65"/>
      <c r="K109" s="65"/>
      <c r="L109" s="65"/>
    </row>
    <row r="110" spans="1:12" s="66" customFormat="1" ht="26.25" customHeight="1" x14ac:dyDescent="0.4">
      <c r="A110" s="111" t="s">
        <v>113</v>
      </c>
      <c r="B110" s="112">
        <v>1</v>
      </c>
      <c r="C110" s="179">
        <v>3</v>
      </c>
      <c r="D110" s="254">
        <v>529019</v>
      </c>
      <c r="E110" s="255">
        <f t="shared" si="3"/>
        <v>160.05253931494622</v>
      </c>
      <c r="F110" s="256">
        <f t="shared" si="4"/>
        <v>100.03283707184139</v>
      </c>
      <c r="G110" s="65"/>
      <c r="H110" s="65"/>
      <c r="I110" s="65"/>
      <c r="J110" s="65"/>
      <c r="K110" s="65"/>
      <c r="L110" s="65"/>
    </row>
    <row r="111" spans="1:12" s="66" customFormat="1" ht="26.25" customHeight="1" x14ac:dyDescent="0.4">
      <c r="A111" s="111" t="s">
        <v>114</v>
      </c>
      <c r="B111" s="112">
        <v>1</v>
      </c>
      <c r="C111" s="179">
        <v>4</v>
      </c>
      <c r="D111" s="254">
        <v>526535</v>
      </c>
      <c r="E111" s="255">
        <f t="shared" si="3"/>
        <v>159.30101525312929</v>
      </c>
      <c r="F111" s="256">
        <f t="shared" si="4"/>
        <v>99.563134533205812</v>
      </c>
      <c r="G111" s="65"/>
      <c r="H111" s="65"/>
      <c r="I111" s="65"/>
      <c r="J111" s="65"/>
      <c r="K111" s="65"/>
      <c r="L111" s="65"/>
    </row>
    <row r="112" spans="1:12" s="66" customFormat="1" ht="26.25" customHeight="1" x14ac:dyDescent="0.4">
      <c r="A112" s="111" t="s">
        <v>115</v>
      </c>
      <c r="B112" s="112">
        <v>1</v>
      </c>
      <c r="C112" s="179">
        <v>5</v>
      </c>
      <c r="D112" s="254">
        <v>527731</v>
      </c>
      <c r="E112" s="255">
        <f t="shared" si="3"/>
        <v>159.66286017178192</v>
      </c>
      <c r="F112" s="256">
        <f t="shared" si="4"/>
        <v>99.78928760736369</v>
      </c>
      <c r="G112" s="65"/>
      <c r="H112" s="65"/>
      <c r="I112" s="65"/>
      <c r="J112" s="65"/>
      <c r="K112" s="65"/>
      <c r="L112" s="65"/>
    </row>
    <row r="113" spans="1:12" s="66" customFormat="1" ht="27" customHeight="1" x14ac:dyDescent="0.4">
      <c r="A113" s="111" t="s">
        <v>116</v>
      </c>
      <c r="B113" s="112">
        <v>1</v>
      </c>
      <c r="C113" s="185">
        <v>6</v>
      </c>
      <c r="D113" s="257">
        <v>529141</v>
      </c>
      <c r="E113" s="258">
        <f t="shared" si="3"/>
        <v>160.08944991701614</v>
      </c>
      <c r="F113" s="259">
        <f t="shared" si="4"/>
        <v>100.05590619813509</v>
      </c>
      <c r="G113" s="65"/>
      <c r="H113" s="65"/>
      <c r="I113" s="65"/>
      <c r="J113" s="65"/>
      <c r="K113" s="65"/>
      <c r="L113" s="65"/>
    </row>
    <row r="114" spans="1:12" s="66" customFormat="1" ht="27" customHeight="1" x14ac:dyDescent="0.4">
      <c r="A114" s="111" t="s">
        <v>117</v>
      </c>
      <c r="B114" s="112">
        <v>1</v>
      </c>
      <c r="C114" s="260"/>
      <c r="D114" s="142"/>
      <c r="E114" s="68"/>
      <c r="F114" s="256"/>
      <c r="G114" s="65"/>
      <c r="H114" s="65"/>
      <c r="I114" s="65"/>
      <c r="J114" s="65"/>
      <c r="K114" s="65"/>
      <c r="L114" s="65"/>
    </row>
    <row r="115" spans="1:12" s="66" customFormat="1" ht="26.25" customHeight="1" x14ac:dyDescent="0.4">
      <c r="A115" s="111" t="s">
        <v>118</v>
      </c>
      <c r="B115" s="112">
        <v>1</v>
      </c>
      <c r="C115" s="260"/>
      <c r="D115" s="261" t="s">
        <v>48</v>
      </c>
      <c r="E115" s="262">
        <f>AVERAGE(E108:E113)</f>
        <v>159.72362147710189</v>
      </c>
      <c r="F115" s="263">
        <f>AVERAGE(F108:F113)</f>
        <v>99.827263423188683</v>
      </c>
      <c r="G115" s="65"/>
      <c r="H115" s="65"/>
      <c r="I115" s="65"/>
      <c r="J115" s="65"/>
      <c r="K115" s="65"/>
      <c r="L115" s="65"/>
    </row>
    <row r="116" spans="1:12" s="66" customFormat="1" ht="27" customHeight="1" x14ac:dyDescent="0.4">
      <c r="A116" s="111" t="s">
        <v>70</v>
      </c>
      <c r="B116" s="123">
        <f>(B115/B114)*(B113/B112)*(B111/B110)*(B109/B108)*B107</f>
        <v>4500</v>
      </c>
      <c r="C116" s="264"/>
      <c r="D116" s="265" t="s">
        <v>59</v>
      </c>
      <c r="E116" s="200">
        <f>STDEV(E108:E113)/E115</f>
        <v>2.0602105937935163E-3</v>
      </c>
      <c r="F116" s="266">
        <f>STDEV(F108:F113)/F115</f>
        <v>2.060210593793522E-3</v>
      </c>
      <c r="G116" s="65"/>
      <c r="H116" s="65"/>
      <c r="I116" s="68"/>
      <c r="J116" s="65"/>
      <c r="K116" s="65"/>
      <c r="L116" s="65"/>
    </row>
    <row r="117" spans="1:12" s="66" customFormat="1" ht="27" customHeight="1" x14ac:dyDescent="0.4">
      <c r="A117" s="145" t="s">
        <v>53</v>
      </c>
      <c r="B117" s="146"/>
      <c r="C117" s="267"/>
      <c r="D117" s="201" t="s">
        <v>8</v>
      </c>
      <c r="E117" s="268">
        <f>COUNT(E108:E113)</f>
        <v>6</v>
      </c>
      <c r="F117" s="269">
        <f>COUNT(F108:F113)</f>
        <v>6</v>
      </c>
      <c r="G117" s="65"/>
      <c r="H117" s="65"/>
      <c r="I117" s="68"/>
      <c r="J117" s="247"/>
      <c r="K117" s="65"/>
      <c r="L117" s="65"/>
    </row>
    <row r="118" spans="1:12" s="66" customFormat="1" ht="26.25" customHeight="1" x14ac:dyDescent="0.3">
      <c r="A118" s="150"/>
      <c r="B118" s="151"/>
      <c r="C118" s="68"/>
      <c r="D118" s="270"/>
      <c r="E118" s="271" t="s">
        <v>89</v>
      </c>
      <c r="F118" s="272"/>
      <c r="G118" s="68"/>
      <c r="H118" s="68"/>
      <c r="I118" s="68"/>
      <c r="J118" s="65"/>
      <c r="K118" s="65"/>
      <c r="L118" s="65"/>
    </row>
    <row r="119" spans="1:12" s="66" customFormat="1" ht="25.5" customHeight="1" x14ac:dyDescent="0.4">
      <c r="A119" s="273"/>
      <c r="B119" s="104"/>
      <c r="C119" s="68"/>
      <c r="D119" s="265" t="s">
        <v>90</v>
      </c>
      <c r="E119" s="274">
        <f>MIN(E108:E113)</f>
        <v>159.30101525312929</v>
      </c>
      <c r="F119" s="275">
        <f>MIN(F108:F113)</f>
        <v>99.563134533205812</v>
      </c>
      <c r="G119" s="68"/>
      <c r="H119" s="68"/>
      <c r="I119" s="68"/>
      <c r="J119" s="65"/>
      <c r="K119" s="65"/>
      <c r="L119" s="65"/>
    </row>
    <row r="120" spans="1:12" s="66" customFormat="1" ht="24" customHeight="1" x14ac:dyDescent="0.4">
      <c r="A120" s="273"/>
      <c r="B120" s="104"/>
      <c r="C120" s="68"/>
      <c r="D120" s="157" t="s">
        <v>91</v>
      </c>
      <c r="E120" s="276">
        <f>MAX(E108:E113)</f>
        <v>160.08944991701614</v>
      </c>
      <c r="F120" s="277">
        <f>MAX(F108:F113)</f>
        <v>100.05590619813509</v>
      </c>
      <c r="G120" s="68"/>
      <c r="H120" s="68"/>
      <c r="I120" s="68"/>
      <c r="J120" s="65"/>
      <c r="K120" s="65"/>
      <c r="L120" s="65"/>
    </row>
    <row r="121" spans="1:12" s="66" customFormat="1" ht="27" customHeight="1" x14ac:dyDescent="0.3">
      <c r="A121" s="273"/>
      <c r="B121" s="104"/>
      <c r="C121" s="68"/>
      <c r="D121" s="68"/>
      <c r="E121" s="68"/>
      <c r="F121" s="142"/>
      <c r="G121" s="68"/>
      <c r="H121" s="68"/>
      <c r="I121" s="68"/>
      <c r="J121" s="65"/>
      <c r="K121" s="65"/>
      <c r="L121" s="65"/>
    </row>
    <row r="122" spans="1:12" s="66" customFormat="1" ht="25.5" customHeight="1" x14ac:dyDescent="0.3">
      <c r="A122" s="273"/>
      <c r="B122" s="104"/>
      <c r="C122" s="68"/>
      <c r="D122" s="68"/>
      <c r="E122" s="68"/>
      <c r="F122" s="142"/>
      <c r="G122" s="68"/>
      <c r="H122" s="68"/>
      <c r="I122" s="68"/>
      <c r="J122" s="65"/>
      <c r="K122" s="65"/>
      <c r="L122" s="65"/>
    </row>
    <row r="123" spans="1:12" s="66" customFormat="1" ht="18.75" x14ac:dyDescent="0.3">
      <c r="A123" s="273"/>
      <c r="B123" s="104"/>
      <c r="C123" s="68"/>
      <c r="D123" s="68"/>
      <c r="E123" s="68"/>
      <c r="F123" s="142"/>
      <c r="G123" s="68"/>
      <c r="H123" s="68"/>
      <c r="I123" s="68"/>
      <c r="J123" s="65"/>
      <c r="K123" s="65"/>
      <c r="L123" s="65"/>
    </row>
    <row r="124" spans="1:12" s="66" customFormat="1" ht="45.75" customHeight="1" x14ac:dyDescent="0.65">
      <c r="A124" s="84" t="s">
        <v>73</v>
      </c>
      <c r="B124" s="85" t="s">
        <v>92</v>
      </c>
      <c r="C124" s="203" t="str">
        <f>B26</f>
        <v>Trimethoprim</v>
      </c>
      <c r="D124" s="203"/>
      <c r="E124" s="68" t="s">
        <v>93</v>
      </c>
      <c r="F124" s="68"/>
      <c r="G124" s="278">
        <f>F115</f>
        <v>99.827263423188683</v>
      </c>
      <c r="H124" s="68"/>
      <c r="I124" s="68"/>
      <c r="J124" s="65"/>
      <c r="K124" s="65"/>
      <c r="L124" s="65"/>
    </row>
    <row r="125" spans="1:12" s="66" customFormat="1" ht="45.75" customHeight="1" x14ac:dyDescent="0.65">
      <c r="A125" s="84"/>
      <c r="B125" s="85" t="s">
        <v>94</v>
      </c>
      <c r="C125" s="85" t="s">
        <v>95</v>
      </c>
      <c r="D125" s="279">
        <f>MIN(F108:F113)</f>
        <v>99.563134533205812</v>
      </c>
      <c r="E125" s="85" t="s">
        <v>96</v>
      </c>
      <c r="F125" s="279">
        <f>MAX(F108:F113)</f>
        <v>100.05590619813509</v>
      </c>
      <c r="G125" s="204"/>
      <c r="H125" s="68"/>
      <c r="I125" s="68"/>
      <c r="J125" s="65"/>
      <c r="K125" s="65"/>
      <c r="L125" s="65"/>
    </row>
    <row r="126" spans="1:12" s="66" customFormat="1" ht="19.5" customHeight="1" x14ac:dyDescent="0.3">
      <c r="A126" s="280"/>
      <c r="B126" s="280"/>
      <c r="C126" s="281"/>
      <c r="D126" s="281"/>
      <c r="E126" s="281"/>
      <c r="F126" s="281"/>
      <c r="G126" s="281"/>
      <c r="H126" s="281"/>
      <c r="I126" s="65"/>
      <c r="J126" s="65"/>
      <c r="K126" s="65"/>
      <c r="L126" s="65"/>
    </row>
    <row r="127" spans="1:12" s="66" customFormat="1" ht="18.75" x14ac:dyDescent="0.3">
      <c r="A127" s="65"/>
      <c r="B127" s="282" t="s">
        <v>9</v>
      </c>
      <c r="C127" s="282"/>
      <c r="D127" s="65"/>
      <c r="E127" s="283" t="s">
        <v>10</v>
      </c>
      <c r="F127" s="284"/>
      <c r="G127" s="282" t="s">
        <v>11</v>
      </c>
      <c r="H127" s="282"/>
      <c r="I127" s="65"/>
      <c r="J127" s="65"/>
      <c r="K127" s="65"/>
      <c r="L127" s="65"/>
    </row>
    <row r="128" spans="1:12" s="66" customFormat="1" ht="69.95" customHeight="1" x14ac:dyDescent="0.3">
      <c r="A128" s="84" t="s">
        <v>12</v>
      </c>
      <c r="B128" s="285"/>
      <c r="C128" s="285"/>
      <c r="D128" s="65"/>
      <c r="E128" s="285"/>
      <c r="F128" s="68"/>
      <c r="G128" s="285"/>
      <c r="H128" s="285"/>
      <c r="I128" s="65"/>
      <c r="J128" s="65"/>
      <c r="K128" s="65"/>
      <c r="L128" s="65"/>
    </row>
    <row r="129" spans="1:12" s="66" customFormat="1" ht="69.95" customHeight="1" x14ac:dyDescent="0.3">
      <c r="A129" s="84" t="s">
        <v>13</v>
      </c>
      <c r="B129" s="286"/>
      <c r="C129" s="286"/>
      <c r="D129" s="65"/>
      <c r="E129" s="286"/>
      <c r="F129" s="68"/>
      <c r="G129" s="287"/>
      <c r="H129" s="287"/>
      <c r="I129" s="65"/>
      <c r="J129" s="65"/>
      <c r="K129" s="65"/>
      <c r="L129" s="65"/>
    </row>
    <row r="130" spans="1:12" ht="18.75" x14ac:dyDescent="0.3">
      <c r="A130" s="50"/>
      <c r="B130" s="50"/>
      <c r="C130" s="51"/>
      <c r="D130" s="51"/>
      <c r="E130" s="51"/>
      <c r="F130" s="52"/>
      <c r="G130" s="51"/>
      <c r="H130" s="51"/>
      <c r="I130" s="49"/>
    </row>
    <row r="131" spans="1:12" ht="18.75" x14ac:dyDescent="0.3">
      <c r="A131" s="50"/>
      <c r="B131" s="50"/>
      <c r="C131" s="51"/>
      <c r="D131" s="51"/>
      <c r="E131" s="51"/>
      <c r="F131" s="52"/>
      <c r="G131" s="51"/>
      <c r="H131" s="51"/>
      <c r="I131" s="49"/>
    </row>
    <row r="132" spans="1:12" ht="18.75" x14ac:dyDescent="0.3">
      <c r="A132" s="50"/>
      <c r="B132" s="50"/>
      <c r="C132" s="51"/>
      <c r="D132" s="51"/>
      <c r="E132" s="51"/>
      <c r="F132" s="52"/>
      <c r="G132" s="51"/>
      <c r="H132" s="51"/>
      <c r="I132" s="49"/>
    </row>
    <row r="133" spans="1:12" ht="18.75" x14ac:dyDescent="0.3">
      <c r="A133" s="50"/>
      <c r="B133" s="50"/>
      <c r="C133" s="51"/>
      <c r="D133" s="51"/>
      <c r="E133" s="51"/>
      <c r="F133" s="52"/>
      <c r="G133" s="51"/>
      <c r="H133" s="51"/>
      <c r="I133" s="49"/>
    </row>
    <row r="134" spans="1:12" ht="18.75" x14ac:dyDescent="0.3">
      <c r="A134" s="50"/>
      <c r="B134" s="50"/>
      <c r="C134" s="51"/>
      <c r="D134" s="51"/>
      <c r="E134" s="51"/>
      <c r="F134" s="52"/>
      <c r="G134" s="51"/>
      <c r="H134" s="51"/>
      <c r="I134" s="49"/>
    </row>
    <row r="135" spans="1:12" ht="18.75" x14ac:dyDescent="0.3">
      <c r="A135" s="50"/>
      <c r="B135" s="50"/>
      <c r="C135" s="51"/>
      <c r="D135" s="51"/>
      <c r="E135" s="51"/>
      <c r="F135" s="52"/>
      <c r="G135" s="51"/>
      <c r="H135" s="51"/>
      <c r="I135" s="49"/>
    </row>
    <row r="136" spans="1:12" ht="18.75" x14ac:dyDescent="0.3">
      <c r="A136" s="50"/>
      <c r="B136" s="50"/>
      <c r="C136" s="51"/>
      <c r="D136" s="51"/>
      <c r="E136" s="51"/>
      <c r="F136" s="52"/>
      <c r="G136" s="51"/>
      <c r="H136" s="51"/>
      <c r="I136" s="49"/>
    </row>
    <row r="137" spans="1:12" ht="18.75" x14ac:dyDescent="0.3">
      <c r="A137" s="50"/>
      <c r="B137" s="50"/>
      <c r="C137" s="51"/>
      <c r="D137" s="51"/>
      <c r="E137" s="51"/>
      <c r="F137" s="52"/>
      <c r="G137" s="51"/>
      <c r="H137" s="51"/>
      <c r="I137" s="49"/>
    </row>
    <row r="138" spans="1:12" ht="18.75" x14ac:dyDescent="0.3">
      <c r="A138" s="50"/>
      <c r="B138" s="50"/>
      <c r="C138" s="51"/>
      <c r="D138" s="51"/>
      <c r="E138" s="51"/>
      <c r="F138" s="52"/>
      <c r="G138" s="51"/>
      <c r="H138" s="51"/>
      <c r="I138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E55" zoomScale="55" zoomScaleNormal="40" zoomScalePageLayoutView="55" workbookViewId="0">
      <selection activeCell="H78" sqref="H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12" s="66" customFormat="1" ht="18.75" customHeight="1" x14ac:dyDescent="0.25">
      <c r="A1" s="288" t="s">
        <v>28</v>
      </c>
      <c r="B1" s="288"/>
      <c r="C1" s="288"/>
      <c r="D1" s="288"/>
      <c r="E1" s="288"/>
      <c r="F1" s="288"/>
      <c r="G1" s="288"/>
      <c r="H1" s="288"/>
      <c r="I1" s="288"/>
      <c r="J1" s="65"/>
      <c r="K1" s="65"/>
      <c r="L1" s="65"/>
    </row>
    <row r="2" spans="1:12" s="66" customFormat="1" ht="18.7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  <c r="J2" s="65"/>
      <c r="K2" s="65"/>
      <c r="L2" s="65"/>
    </row>
    <row r="3" spans="1:12" s="66" customFormat="1" ht="18.75" customHeight="1" x14ac:dyDescent="0.25">
      <c r="A3" s="288"/>
      <c r="B3" s="288"/>
      <c r="C3" s="288"/>
      <c r="D3" s="288"/>
      <c r="E3" s="288"/>
      <c r="F3" s="288"/>
      <c r="G3" s="288"/>
      <c r="H3" s="288"/>
      <c r="I3" s="288"/>
      <c r="J3" s="65"/>
      <c r="K3" s="65"/>
      <c r="L3" s="65"/>
    </row>
    <row r="4" spans="1:12" s="66" customFormat="1" ht="18.7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  <c r="J4" s="65"/>
      <c r="K4" s="65"/>
      <c r="L4" s="65"/>
    </row>
    <row r="5" spans="1:12" s="66" customFormat="1" ht="18.75" customHeight="1" x14ac:dyDescent="0.25">
      <c r="A5" s="288"/>
      <c r="B5" s="288"/>
      <c r="C5" s="288"/>
      <c r="D5" s="288"/>
      <c r="E5" s="288"/>
      <c r="F5" s="288"/>
      <c r="G5" s="288"/>
      <c r="H5" s="288"/>
      <c r="I5" s="288"/>
      <c r="J5" s="65"/>
      <c r="K5" s="65"/>
      <c r="L5" s="65"/>
    </row>
    <row r="6" spans="1:12" s="66" customFormat="1" ht="18.7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  <c r="J6" s="65"/>
      <c r="K6" s="65"/>
      <c r="L6" s="65"/>
    </row>
    <row r="7" spans="1:12" s="66" customFormat="1" ht="18.75" customHeight="1" x14ac:dyDescent="0.25">
      <c r="A7" s="288"/>
      <c r="B7" s="288"/>
      <c r="C7" s="288"/>
      <c r="D7" s="288"/>
      <c r="E7" s="288"/>
      <c r="F7" s="288"/>
      <c r="G7" s="288"/>
      <c r="H7" s="288"/>
      <c r="I7" s="288"/>
      <c r="J7" s="65"/>
      <c r="K7" s="65"/>
      <c r="L7" s="65"/>
    </row>
    <row r="8" spans="1:12" s="66" customFormat="1" x14ac:dyDescent="0.25">
      <c r="A8" s="67" t="s">
        <v>29</v>
      </c>
      <c r="B8" s="67"/>
      <c r="C8" s="67"/>
      <c r="D8" s="67"/>
      <c r="E8" s="67"/>
      <c r="F8" s="67"/>
      <c r="G8" s="67"/>
      <c r="H8" s="67"/>
      <c r="I8" s="67"/>
      <c r="J8" s="65"/>
      <c r="K8" s="65"/>
      <c r="L8" s="65"/>
    </row>
    <row r="9" spans="1:12" s="66" customFormat="1" x14ac:dyDescent="0.25">
      <c r="A9" s="67"/>
      <c r="B9" s="67"/>
      <c r="C9" s="67"/>
      <c r="D9" s="67"/>
      <c r="E9" s="67"/>
      <c r="F9" s="67"/>
      <c r="G9" s="67"/>
      <c r="H9" s="67"/>
      <c r="I9" s="67"/>
      <c r="J9" s="65"/>
      <c r="K9" s="65"/>
      <c r="L9" s="65"/>
    </row>
    <row r="10" spans="1:12" s="66" customFormat="1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5"/>
      <c r="K10" s="65"/>
      <c r="L10" s="65"/>
    </row>
    <row r="11" spans="1:12" s="66" customFormat="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5"/>
      <c r="K11" s="65"/>
      <c r="L11" s="65"/>
    </row>
    <row r="12" spans="1:12" s="66" customFormat="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5"/>
      <c r="K12" s="65"/>
      <c r="L12" s="65"/>
    </row>
    <row r="13" spans="1:12" s="66" customFormat="1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5"/>
      <c r="K13" s="65"/>
      <c r="L13" s="65"/>
    </row>
    <row r="14" spans="1:12" s="66" customFormat="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5"/>
      <c r="K14" s="65"/>
      <c r="L14" s="65"/>
    </row>
    <row r="15" spans="1:12" s="66" customFormat="1" ht="19.5" customHeight="1" x14ac:dyDescent="0.3">
      <c r="A15" s="68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 s="66" customFormat="1" ht="19.5" customHeight="1" x14ac:dyDescent="0.3">
      <c r="A16" s="69" t="s">
        <v>14</v>
      </c>
      <c r="B16" s="70"/>
      <c r="C16" s="70"/>
      <c r="D16" s="70"/>
      <c r="E16" s="70"/>
      <c r="F16" s="70"/>
      <c r="G16" s="70"/>
      <c r="H16" s="71"/>
      <c r="I16" s="65"/>
      <c r="J16" s="65"/>
      <c r="K16" s="65"/>
      <c r="L16" s="65"/>
    </row>
    <row r="17" spans="1:14" s="66" customFormat="1" ht="20.25" customHeight="1" x14ac:dyDescent="0.25">
      <c r="A17" s="72" t="s">
        <v>30</v>
      </c>
      <c r="B17" s="72"/>
      <c r="C17" s="72"/>
      <c r="D17" s="72"/>
      <c r="E17" s="72"/>
      <c r="F17" s="72"/>
      <c r="G17" s="72"/>
      <c r="H17" s="72"/>
      <c r="I17" s="65"/>
      <c r="J17" s="65"/>
      <c r="K17" s="65"/>
      <c r="L17" s="65"/>
    </row>
    <row r="18" spans="1:14" s="66" customFormat="1" ht="26.25" customHeight="1" x14ac:dyDescent="0.4">
      <c r="A18" s="73" t="s">
        <v>16</v>
      </c>
      <c r="B18" s="74" t="s">
        <v>2</v>
      </c>
      <c r="C18" s="74"/>
      <c r="D18" s="75"/>
      <c r="E18" s="76"/>
      <c r="F18" s="77"/>
      <c r="G18" s="77"/>
      <c r="H18" s="77"/>
      <c r="I18" s="65"/>
      <c r="J18" s="65"/>
      <c r="K18" s="65"/>
      <c r="L18" s="65"/>
    </row>
    <row r="19" spans="1:14" s="66" customFormat="1" ht="26.25" customHeight="1" x14ac:dyDescent="0.4">
      <c r="A19" s="73" t="s">
        <v>17</v>
      </c>
      <c r="B19" s="78" t="s">
        <v>4</v>
      </c>
      <c r="C19" s="77">
        <v>1</v>
      </c>
      <c r="D19" s="77"/>
      <c r="E19" s="77"/>
      <c r="F19" s="77"/>
      <c r="G19" s="77"/>
      <c r="H19" s="77"/>
      <c r="I19" s="65"/>
      <c r="J19" s="65"/>
      <c r="K19" s="65"/>
      <c r="L19" s="65"/>
    </row>
    <row r="20" spans="1:14" s="66" customFormat="1" ht="26.25" customHeight="1" x14ac:dyDescent="0.4">
      <c r="A20" s="73" t="s">
        <v>18</v>
      </c>
      <c r="B20" s="79" t="s">
        <v>5</v>
      </c>
      <c r="C20" s="79"/>
      <c r="D20" s="77"/>
      <c r="E20" s="77"/>
      <c r="F20" s="77"/>
      <c r="G20" s="77"/>
      <c r="H20" s="77"/>
      <c r="I20" s="65"/>
      <c r="J20" s="65"/>
      <c r="K20" s="65"/>
      <c r="L20" s="65"/>
    </row>
    <row r="21" spans="1:14" s="66" customFormat="1" ht="26.25" customHeight="1" x14ac:dyDescent="0.4">
      <c r="A21" s="73" t="s">
        <v>19</v>
      </c>
      <c r="B21" s="79" t="s">
        <v>6</v>
      </c>
      <c r="C21" s="79"/>
      <c r="D21" s="79"/>
      <c r="E21" s="79"/>
      <c r="F21" s="79"/>
      <c r="G21" s="79"/>
      <c r="H21" s="79"/>
      <c r="I21" s="80"/>
      <c r="J21" s="65"/>
      <c r="K21" s="65"/>
      <c r="L21" s="65"/>
    </row>
    <row r="22" spans="1:14" s="66" customFormat="1" ht="26.25" customHeight="1" x14ac:dyDescent="0.4">
      <c r="A22" s="73" t="s">
        <v>20</v>
      </c>
      <c r="B22" s="81">
        <v>42761</v>
      </c>
      <c r="C22" s="77"/>
      <c r="D22" s="77"/>
      <c r="E22" s="77"/>
      <c r="F22" s="77"/>
      <c r="G22" s="77"/>
      <c r="H22" s="77"/>
      <c r="I22" s="65"/>
      <c r="J22" s="65"/>
      <c r="K22" s="65"/>
      <c r="L22" s="65"/>
    </row>
    <row r="23" spans="1:14" s="66" customFormat="1" ht="26.25" customHeight="1" x14ac:dyDescent="0.4">
      <c r="A23" s="73" t="s">
        <v>21</v>
      </c>
      <c r="B23" s="81">
        <v>42762</v>
      </c>
      <c r="C23" s="77"/>
      <c r="D23" s="77"/>
      <c r="E23" s="77"/>
      <c r="F23" s="77"/>
      <c r="G23" s="77"/>
      <c r="H23" s="77"/>
      <c r="I23" s="65"/>
      <c r="J23" s="65"/>
      <c r="K23" s="65"/>
      <c r="L23" s="65"/>
    </row>
    <row r="24" spans="1:14" s="66" customFormat="1" ht="18.75" x14ac:dyDescent="0.3">
      <c r="A24" s="73"/>
      <c r="B24" s="82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4" s="66" customFormat="1" ht="18.75" x14ac:dyDescent="0.3">
      <c r="A25" s="83" t="s">
        <v>0</v>
      </c>
      <c r="B25" s="82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4" s="66" customFormat="1" ht="26.25" customHeight="1" x14ac:dyDescent="0.4">
      <c r="A26" s="84" t="s">
        <v>1</v>
      </c>
      <c r="B26" s="74" t="s">
        <v>99</v>
      </c>
      <c r="C26" s="74"/>
      <c r="D26" s="65"/>
      <c r="E26" s="65"/>
      <c r="F26" s="65"/>
      <c r="G26" s="65"/>
      <c r="H26" s="65"/>
      <c r="I26" s="65"/>
      <c r="J26" s="65"/>
      <c r="K26" s="65"/>
      <c r="L26" s="65"/>
    </row>
    <row r="27" spans="1:14" s="66" customFormat="1" ht="26.25" customHeight="1" x14ac:dyDescent="0.4">
      <c r="A27" s="85" t="s">
        <v>31</v>
      </c>
      <c r="B27" s="86" t="s">
        <v>98</v>
      </c>
      <c r="C27" s="86"/>
      <c r="D27" s="65"/>
      <c r="E27" s="65"/>
      <c r="F27" s="65"/>
      <c r="G27" s="65"/>
      <c r="H27" s="65"/>
      <c r="I27" s="65"/>
      <c r="J27" s="65"/>
      <c r="K27" s="65"/>
      <c r="L27" s="65"/>
    </row>
    <row r="28" spans="1:14" s="66" customFormat="1" ht="27" customHeight="1" x14ac:dyDescent="0.4">
      <c r="A28" s="85" t="s">
        <v>3</v>
      </c>
      <c r="B28" s="87">
        <v>99.28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4" s="92" customFormat="1" ht="27" customHeight="1" x14ac:dyDescent="0.4">
      <c r="A29" s="85" t="s">
        <v>32</v>
      </c>
      <c r="B29" s="88">
        <v>0.26</v>
      </c>
      <c r="C29" s="89" t="s">
        <v>33</v>
      </c>
      <c r="D29" s="90"/>
      <c r="E29" s="90"/>
      <c r="F29" s="90"/>
      <c r="G29" s="91"/>
      <c r="I29" s="93"/>
      <c r="J29" s="93"/>
      <c r="K29" s="93"/>
      <c r="L29" s="93"/>
    </row>
    <row r="30" spans="1:14" s="92" customFormat="1" ht="19.5" customHeight="1" x14ac:dyDescent="0.3">
      <c r="A30" s="85" t="s">
        <v>34</v>
      </c>
      <c r="B30" s="94">
        <f>B28-B29</f>
        <v>99.02</v>
      </c>
      <c r="C30" s="95"/>
      <c r="D30" s="95"/>
      <c r="E30" s="95"/>
      <c r="F30" s="95"/>
      <c r="G30" s="96"/>
      <c r="I30" s="93"/>
      <c r="J30" s="93"/>
      <c r="K30" s="93"/>
      <c r="L30" s="93"/>
    </row>
    <row r="31" spans="1:14" s="92" customFormat="1" ht="27" customHeight="1" x14ac:dyDescent="0.4">
      <c r="A31" s="85" t="s">
        <v>35</v>
      </c>
      <c r="B31" s="97">
        <v>1</v>
      </c>
      <c r="C31" s="98" t="s">
        <v>36</v>
      </c>
      <c r="D31" s="99"/>
      <c r="E31" s="99"/>
      <c r="F31" s="99"/>
      <c r="G31" s="99"/>
      <c r="H31" s="100"/>
      <c r="I31" s="93"/>
      <c r="J31" s="93"/>
      <c r="K31" s="93"/>
      <c r="L31" s="93"/>
    </row>
    <row r="32" spans="1:14" s="92" customFormat="1" ht="27" customHeight="1" x14ac:dyDescent="0.4">
      <c r="A32" s="85" t="s">
        <v>37</v>
      </c>
      <c r="B32" s="97">
        <v>1</v>
      </c>
      <c r="C32" s="98" t="s">
        <v>38</v>
      </c>
      <c r="D32" s="99"/>
      <c r="E32" s="99"/>
      <c r="F32" s="99"/>
      <c r="G32" s="99"/>
      <c r="H32" s="100"/>
      <c r="I32" s="93"/>
      <c r="J32" s="93"/>
      <c r="K32" s="93"/>
      <c r="L32" s="101"/>
      <c r="M32" s="101"/>
      <c r="N32" s="102"/>
    </row>
    <row r="33" spans="1:14" s="92" customFormat="1" ht="17.25" customHeight="1" x14ac:dyDescent="0.3">
      <c r="A33" s="85"/>
      <c r="B33" s="103"/>
      <c r="C33" s="104"/>
      <c r="D33" s="104"/>
      <c r="E33" s="104"/>
      <c r="F33" s="104"/>
      <c r="G33" s="104"/>
      <c r="H33" s="104"/>
      <c r="I33" s="93"/>
      <c r="J33" s="93"/>
      <c r="K33" s="93"/>
      <c r="L33" s="101"/>
      <c r="M33" s="101"/>
      <c r="N33" s="102"/>
    </row>
    <row r="34" spans="1:14" s="92" customFormat="1" ht="18.75" x14ac:dyDescent="0.3">
      <c r="A34" s="85" t="s">
        <v>39</v>
      </c>
      <c r="B34" s="105">
        <f>B31/B32</f>
        <v>1</v>
      </c>
      <c r="C34" s="68" t="s">
        <v>40</v>
      </c>
      <c r="D34" s="68"/>
      <c r="E34" s="68"/>
      <c r="F34" s="68"/>
      <c r="G34" s="68"/>
      <c r="I34" s="93"/>
      <c r="J34" s="93"/>
      <c r="K34" s="93"/>
      <c r="L34" s="101"/>
      <c r="M34" s="101"/>
      <c r="N34" s="102"/>
    </row>
    <row r="35" spans="1:14" s="92" customFormat="1" ht="19.5" customHeight="1" x14ac:dyDescent="0.3">
      <c r="A35" s="85"/>
      <c r="B35" s="94"/>
      <c r="G35" s="68"/>
      <c r="I35" s="93"/>
      <c r="J35" s="93"/>
      <c r="K35" s="93"/>
      <c r="L35" s="101"/>
      <c r="M35" s="101"/>
      <c r="N35" s="102"/>
    </row>
    <row r="36" spans="1:14" s="92" customFormat="1" ht="27" customHeight="1" x14ac:dyDescent="0.4">
      <c r="A36" s="106" t="s">
        <v>41</v>
      </c>
      <c r="B36" s="107">
        <v>100</v>
      </c>
      <c r="C36" s="68"/>
      <c r="D36" s="108" t="s">
        <v>42</v>
      </c>
      <c r="E36" s="109"/>
      <c r="F36" s="108" t="s">
        <v>43</v>
      </c>
      <c r="G36" s="110"/>
      <c r="J36" s="93"/>
      <c r="K36" s="93"/>
      <c r="L36" s="101"/>
      <c r="M36" s="101"/>
      <c r="N36" s="102"/>
    </row>
    <row r="37" spans="1:14" s="92" customFormat="1" ht="27" customHeight="1" x14ac:dyDescent="0.4">
      <c r="A37" s="111" t="s">
        <v>103</v>
      </c>
      <c r="B37" s="112">
        <v>1</v>
      </c>
      <c r="C37" s="113" t="s">
        <v>44</v>
      </c>
      <c r="D37" s="114" t="s">
        <v>45</v>
      </c>
      <c r="E37" s="115" t="s">
        <v>46</v>
      </c>
      <c r="F37" s="114" t="s">
        <v>45</v>
      </c>
      <c r="G37" s="116" t="s">
        <v>46</v>
      </c>
      <c r="I37" s="117" t="s">
        <v>47</v>
      </c>
      <c r="J37" s="93"/>
      <c r="K37" s="93"/>
      <c r="L37" s="101"/>
      <c r="M37" s="101"/>
      <c r="N37" s="102"/>
    </row>
    <row r="38" spans="1:14" s="92" customFormat="1" ht="26.25" customHeight="1" x14ac:dyDescent="0.4">
      <c r="A38" s="111" t="s">
        <v>104</v>
      </c>
      <c r="B38" s="112">
        <v>1</v>
      </c>
      <c r="C38" s="118">
        <v>1</v>
      </c>
      <c r="D38" s="119">
        <v>5233427</v>
      </c>
      <c r="E38" s="120">
        <f>IF(ISBLANK(D38),"-",$D$48/$D$45*D38)</f>
        <v>5872469.0859310133</v>
      </c>
      <c r="F38" s="119">
        <v>6892109</v>
      </c>
      <c r="G38" s="121">
        <f>IF(ISBLANK(F38),"-",$D$48/$F$45*F38)</f>
        <v>5952171.1489864169</v>
      </c>
      <c r="I38" s="122"/>
      <c r="J38" s="93"/>
      <c r="K38" s="93"/>
      <c r="L38" s="101"/>
      <c r="M38" s="101"/>
      <c r="N38" s="102"/>
    </row>
    <row r="39" spans="1:14" s="92" customFormat="1" ht="26.25" customHeight="1" x14ac:dyDescent="0.4">
      <c r="A39" s="111" t="s">
        <v>105</v>
      </c>
      <c r="B39" s="112">
        <v>1</v>
      </c>
      <c r="C39" s="123">
        <v>2</v>
      </c>
      <c r="D39" s="124">
        <v>5231083</v>
      </c>
      <c r="E39" s="125">
        <f>IF(ISBLANK(D39),"-",$D$48/$D$45*D39)</f>
        <v>5869838.8653246267</v>
      </c>
      <c r="F39" s="124">
        <v>6894967</v>
      </c>
      <c r="G39" s="126">
        <f>IF(ISBLANK(F39),"-",$D$48/$F$45*F39)</f>
        <v>5954639.3782532206</v>
      </c>
      <c r="I39" s="127">
        <f>ABS((F43/D43*D42)-F42)/D42</f>
        <v>1.7041931457489754E-2</v>
      </c>
      <c r="J39" s="93"/>
      <c r="K39" s="93"/>
      <c r="L39" s="101"/>
      <c r="M39" s="101"/>
      <c r="N39" s="102"/>
    </row>
    <row r="40" spans="1:14" s="66" customFormat="1" ht="26.25" customHeight="1" x14ac:dyDescent="0.4">
      <c r="A40" s="111" t="s">
        <v>106</v>
      </c>
      <c r="B40" s="112">
        <v>1</v>
      </c>
      <c r="C40" s="123">
        <v>3</v>
      </c>
      <c r="D40" s="124">
        <v>5239133</v>
      </c>
      <c r="E40" s="125">
        <f>IF(ISBLANK(D40),"-",$D$48/$D$45*D40)</f>
        <v>5878871.8328508278</v>
      </c>
      <c r="F40" s="124">
        <v>6884375</v>
      </c>
      <c r="G40" s="126">
        <f>IF(ISBLANK(F40),"-",$D$48/$F$45*F40)</f>
        <v>5945491.9029579135</v>
      </c>
      <c r="H40" s="65"/>
      <c r="I40" s="127"/>
      <c r="J40" s="65"/>
      <c r="K40" s="65"/>
      <c r="L40" s="101"/>
      <c r="M40" s="101"/>
      <c r="N40" s="68"/>
    </row>
    <row r="41" spans="1:14" s="66" customFormat="1" ht="27" customHeight="1" x14ac:dyDescent="0.4">
      <c r="A41" s="111" t="s">
        <v>107</v>
      </c>
      <c r="B41" s="112">
        <v>1</v>
      </c>
      <c r="C41" s="128">
        <v>4</v>
      </c>
      <c r="D41" s="129"/>
      <c r="E41" s="130" t="str">
        <f>IF(ISBLANK(D41),"-",$D$48/$D$45*D41)</f>
        <v>-</v>
      </c>
      <c r="F41" s="129"/>
      <c r="G41" s="131" t="str">
        <f>IF(ISBLANK(F41),"-",$D$48/$F$45*F41)</f>
        <v>-</v>
      </c>
      <c r="H41" s="65"/>
      <c r="I41" s="132"/>
      <c r="J41" s="65"/>
      <c r="K41" s="65"/>
      <c r="L41" s="101"/>
      <c r="M41" s="101"/>
      <c r="N41" s="68"/>
    </row>
    <row r="42" spans="1:14" s="66" customFormat="1" ht="27" customHeight="1" x14ac:dyDescent="0.4">
      <c r="A42" s="111" t="s">
        <v>108</v>
      </c>
      <c r="B42" s="112">
        <v>1</v>
      </c>
      <c r="C42" s="133" t="s">
        <v>48</v>
      </c>
      <c r="D42" s="134">
        <f>AVERAGE(D38:D41)</f>
        <v>5234547.666666667</v>
      </c>
      <c r="E42" s="135">
        <f>AVERAGE(E38:E41)</f>
        <v>5873726.5947021553</v>
      </c>
      <c r="F42" s="134">
        <f>AVERAGE(F38:F41)</f>
        <v>6890483.666666667</v>
      </c>
      <c r="G42" s="136">
        <f>AVERAGE(G38:G41)</f>
        <v>5950767.4767325176</v>
      </c>
      <c r="H42" s="137"/>
      <c r="I42" s="65"/>
      <c r="J42" s="65"/>
      <c r="K42" s="65"/>
      <c r="L42" s="65"/>
    </row>
    <row r="43" spans="1:14" s="66" customFormat="1" ht="26.25" customHeight="1" x14ac:dyDescent="0.4">
      <c r="A43" s="111" t="s">
        <v>109</v>
      </c>
      <c r="B43" s="112">
        <v>1</v>
      </c>
      <c r="C43" s="138" t="s">
        <v>49</v>
      </c>
      <c r="D43" s="290">
        <v>14.4</v>
      </c>
      <c r="E43" s="68"/>
      <c r="F43" s="139">
        <v>18.71</v>
      </c>
      <c r="G43" s="65"/>
      <c r="H43" s="137"/>
      <c r="I43" s="65"/>
      <c r="J43" s="65"/>
      <c r="K43" s="65"/>
      <c r="L43" s="65"/>
    </row>
    <row r="44" spans="1:14" s="66" customFormat="1" ht="26.25" customHeight="1" x14ac:dyDescent="0.4">
      <c r="A44" s="111" t="s">
        <v>110</v>
      </c>
      <c r="B44" s="112">
        <v>1</v>
      </c>
      <c r="C44" s="140" t="s">
        <v>50</v>
      </c>
      <c r="D44" s="141">
        <f>D43*$B$34</f>
        <v>14.4</v>
      </c>
      <c r="E44" s="142"/>
      <c r="F44" s="141">
        <f>F43*$B$34</f>
        <v>18.71</v>
      </c>
      <c r="G44" s="65"/>
      <c r="H44" s="137"/>
      <c r="I44" s="65"/>
      <c r="J44" s="65"/>
      <c r="K44" s="65"/>
      <c r="L44" s="65"/>
    </row>
    <row r="45" spans="1:14" s="66" customFormat="1" ht="19.5" customHeight="1" x14ac:dyDescent="0.3">
      <c r="A45" s="111" t="s">
        <v>51</v>
      </c>
      <c r="B45" s="123">
        <f>(B44/B43)*(B42/B41)*(B40/B39)*(B38/B37)*B36</f>
        <v>100</v>
      </c>
      <c r="C45" s="140" t="s">
        <v>52</v>
      </c>
      <c r="D45" s="143">
        <f>D44*$B$30/100</f>
        <v>14.25888</v>
      </c>
      <c r="E45" s="144"/>
      <c r="F45" s="143">
        <f>F44*$B$30/100</f>
        <v>18.526641999999999</v>
      </c>
      <c r="G45" s="65"/>
      <c r="H45" s="137"/>
      <c r="I45" s="65"/>
      <c r="J45" s="65"/>
      <c r="K45" s="65"/>
      <c r="L45" s="65"/>
    </row>
    <row r="46" spans="1:14" s="66" customFormat="1" ht="19.5" customHeight="1" x14ac:dyDescent="0.3">
      <c r="A46" s="145" t="s">
        <v>53</v>
      </c>
      <c r="B46" s="146"/>
      <c r="C46" s="140" t="s">
        <v>54</v>
      </c>
      <c r="D46" s="147">
        <f>D45/$B$45</f>
        <v>0.14258879999999999</v>
      </c>
      <c r="E46" s="148"/>
      <c r="F46" s="149">
        <f>F45/$B$45</f>
        <v>0.18526641999999999</v>
      </c>
      <c r="G46" s="65"/>
      <c r="H46" s="137"/>
      <c r="I46" s="65"/>
      <c r="J46" s="65"/>
      <c r="K46" s="65"/>
      <c r="L46" s="65"/>
    </row>
    <row r="47" spans="1:14" s="66" customFormat="1" ht="27" customHeight="1" x14ac:dyDescent="0.4">
      <c r="A47" s="150"/>
      <c r="B47" s="151"/>
      <c r="C47" s="152" t="s">
        <v>55</v>
      </c>
      <c r="D47" s="153">
        <v>0.16</v>
      </c>
      <c r="E47" s="154"/>
      <c r="F47" s="148"/>
      <c r="G47" s="65"/>
      <c r="H47" s="137"/>
      <c r="I47" s="65"/>
      <c r="J47" s="65"/>
      <c r="K47" s="65"/>
      <c r="L47" s="65"/>
    </row>
    <row r="48" spans="1:14" s="66" customFormat="1" ht="18.75" x14ac:dyDescent="0.3">
      <c r="A48" s="65"/>
      <c r="B48" s="65"/>
      <c r="C48" s="155" t="s">
        <v>56</v>
      </c>
      <c r="D48" s="143">
        <f>D47*$B$45</f>
        <v>16</v>
      </c>
      <c r="E48" s="65"/>
      <c r="F48" s="156"/>
      <c r="G48" s="65"/>
      <c r="H48" s="137"/>
      <c r="I48" s="65"/>
      <c r="J48" s="65"/>
      <c r="K48" s="65"/>
      <c r="L48" s="65"/>
    </row>
    <row r="49" spans="1:12" s="66" customFormat="1" ht="19.5" customHeight="1" x14ac:dyDescent="0.3">
      <c r="A49" s="65"/>
      <c r="B49" s="65"/>
      <c r="C49" s="157" t="s">
        <v>57</v>
      </c>
      <c r="D49" s="158">
        <f>D48/B34</f>
        <v>16</v>
      </c>
      <c r="E49" s="65"/>
      <c r="F49" s="156"/>
      <c r="G49" s="65"/>
      <c r="H49" s="137"/>
      <c r="I49" s="65"/>
      <c r="J49" s="65"/>
      <c r="K49" s="65"/>
      <c r="L49" s="65"/>
    </row>
    <row r="50" spans="1:12" s="66" customFormat="1" ht="18.75" x14ac:dyDescent="0.3">
      <c r="A50" s="65"/>
      <c r="B50" s="65"/>
      <c r="C50" s="106" t="s">
        <v>58</v>
      </c>
      <c r="D50" s="159">
        <f>AVERAGE(E38:E41,G38:G41)</f>
        <v>5912247.0357173374</v>
      </c>
      <c r="E50" s="65"/>
      <c r="F50" s="160"/>
      <c r="G50" s="65"/>
      <c r="H50" s="137"/>
      <c r="I50" s="65"/>
      <c r="J50" s="65"/>
      <c r="K50" s="65"/>
      <c r="L50" s="65"/>
    </row>
    <row r="51" spans="1:12" s="66" customFormat="1" ht="18.75" x14ac:dyDescent="0.3">
      <c r="A51" s="65"/>
      <c r="B51" s="65"/>
      <c r="C51" s="111" t="s">
        <v>59</v>
      </c>
      <c r="D51" s="161">
        <f>STDEV(E38:E41,G38:G41)/D50</f>
        <v>7.1723954925897301E-3</v>
      </c>
      <c r="E51" s="65"/>
      <c r="F51" s="160"/>
      <c r="G51" s="65"/>
      <c r="H51" s="137"/>
      <c r="I51" s="65"/>
      <c r="J51" s="65"/>
      <c r="K51" s="65"/>
      <c r="L51" s="65"/>
    </row>
    <row r="52" spans="1:12" s="66" customFormat="1" ht="19.5" customHeight="1" x14ac:dyDescent="0.3">
      <c r="A52" s="65"/>
      <c r="B52" s="65"/>
      <c r="C52" s="162" t="s">
        <v>8</v>
      </c>
      <c r="D52" s="163">
        <f>COUNT(E38:E41,G38:G41)</f>
        <v>6</v>
      </c>
      <c r="E52" s="65"/>
      <c r="F52" s="160"/>
      <c r="G52" s="65"/>
      <c r="H52" s="65"/>
      <c r="I52" s="65"/>
      <c r="J52" s="65"/>
      <c r="K52" s="65"/>
      <c r="L52" s="65"/>
    </row>
    <row r="53" spans="1:12" s="66" customForma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</row>
    <row r="54" spans="1:12" s="66" customFormat="1" ht="18.75" x14ac:dyDescent="0.3">
      <c r="A54" s="164" t="s">
        <v>0</v>
      </c>
      <c r="B54" s="165" t="s">
        <v>60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</row>
    <row r="55" spans="1:12" s="66" customFormat="1" ht="18.75" x14ac:dyDescent="0.3">
      <c r="A55" s="68" t="s">
        <v>61</v>
      </c>
      <c r="B55" s="166" t="str">
        <f>B21</f>
        <v>Each tablet contains Sulfamethoxazole 800 mg and Trimethoprim 160 mg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</row>
    <row r="56" spans="1:12" s="66" customFormat="1" ht="26.25" customHeight="1" x14ac:dyDescent="0.4">
      <c r="A56" s="166" t="s">
        <v>62</v>
      </c>
      <c r="B56" s="167">
        <v>800</v>
      </c>
      <c r="C56" s="68" t="str">
        <f>B20</f>
        <v>Sulfamethoxazole BP 800 MG &amp; Trimethoprim BP 160 MG</v>
      </c>
      <c r="D56" s="65"/>
      <c r="E56" s="65"/>
      <c r="F56" s="65"/>
      <c r="G56" s="65"/>
      <c r="H56" s="142"/>
      <c r="I56" s="65"/>
      <c r="J56" s="65"/>
      <c r="K56" s="65"/>
      <c r="L56" s="65"/>
    </row>
    <row r="57" spans="1:12" s="66" customFormat="1" ht="18.75" x14ac:dyDescent="0.3">
      <c r="A57" s="166" t="s">
        <v>63</v>
      </c>
      <c r="B57" s="168">
        <f>Uniformity!C46</f>
        <v>1084.9745</v>
      </c>
      <c r="C57" s="65"/>
      <c r="D57" s="65"/>
      <c r="E57" s="65"/>
      <c r="F57" s="65"/>
      <c r="G57" s="65"/>
      <c r="H57" s="142"/>
      <c r="I57" s="65"/>
      <c r="J57" s="65"/>
      <c r="K57" s="65"/>
      <c r="L57" s="65"/>
    </row>
    <row r="58" spans="1:12" s="66" customFormat="1" ht="19.5" customHeight="1" x14ac:dyDescent="0.3">
      <c r="A58" s="65"/>
      <c r="B58" s="65"/>
      <c r="C58" s="65"/>
      <c r="D58" s="65"/>
      <c r="E58" s="65"/>
      <c r="F58" s="65"/>
      <c r="G58" s="65"/>
      <c r="H58" s="142"/>
      <c r="I58" s="65"/>
      <c r="J58" s="65"/>
      <c r="K58" s="65"/>
      <c r="L58" s="65"/>
    </row>
    <row r="59" spans="1:12" s="92" customFormat="1" ht="27" customHeight="1" x14ac:dyDescent="0.4">
      <c r="A59" s="106" t="s">
        <v>64</v>
      </c>
      <c r="B59" s="107">
        <v>100</v>
      </c>
      <c r="C59" s="68"/>
      <c r="D59" s="169" t="s">
        <v>65</v>
      </c>
      <c r="E59" s="170" t="s">
        <v>44</v>
      </c>
      <c r="F59" s="170" t="s">
        <v>45</v>
      </c>
      <c r="G59" s="170" t="s">
        <v>66</v>
      </c>
      <c r="H59" s="113" t="s">
        <v>67</v>
      </c>
      <c r="L59" s="93"/>
    </row>
    <row r="60" spans="1:12" s="92" customFormat="1" ht="26.25" customHeight="1" x14ac:dyDescent="0.4">
      <c r="A60" s="111" t="s">
        <v>111</v>
      </c>
      <c r="B60" s="112">
        <v>2</v>
      </c>
      <c r="C60" s="171" t="s">
        <v>68</v>
      </c>
      <c r="D60" s="172">
        <f>trimethoprim!D60</f>
        <v>1080.33</v>
      </c>
      <c r="E60" s="173">
        <v>1</v>
      </c>
      <c r="F60" s="174">
        <v>5602896</v>
      </c>
      <c r="G60" s="175">
        <f>IF(ISBLANK(F60),"-",(F60/$D$50*$D$47*$B$68)*($B$57/$D$60))</f>
        <v>761.40034780182623</v>
      </c>
      <c r="H60" s="176">
        <f t="shared" ref="H60:H71" si="0">IF(ISBLANK(F60),"-",(G60/$B$56)*100)</f>
        <v>95.175043475228279</v>
      </c>
      <c r="L60" s="93"/>
    </row>
    <row r="61" spans="1:12" s="92" customFormat="1" ht="26.25" customHeight="1" x14ac:dyDescent="0.4">
      <c r="A61" s="111" t="s">
        <v>112</v>
      </c>
      <c r="B61" s="112">
        <v>100</v>
      </c>
      <c r="C61" s="177"/>
      <c r="D61" s="178"/>
      <c r="E61" s="179">
        <v>2</v>
      </c>
      <c r="F61" s="124">
        <v>5637456</v>
      </c>
      <c r="G61" s="180">
        <f>IF(ISBLANK(F61),"-",(F61/$D$50*$D$47*$B$68)*($B$57/$D$60))</f>
        <v>766.09684690158304</v>
      </c>
      <c r="H61" s="181">
        <f t="shared" si="0"/>
        <v>95.762105862697879</v>
      </c>
      <c r="L61" s="93"/>
    </row>
    <row r="62" spans="1:12" s="92" customFormat="1" ht="26.25" customHeight="1" x14ac:dyDescent="0.4">
      <c r="A62" s="111" t="s">
        <v>113</v>
      </c>
      <c r="B62" s="112">
        <v>1</v>
      </c>
      <c r="C62" s="177"/>
      <c r="D62" s="178"/>
      <c r="E62" s="179">
        <v>3</v>
      </c>
      <c r="F62" s="182">
        <v>5599058</v>
      </c>
      <c r="G62" s="180">
        <f>IF(ISBLANK(F62),"-",(F62/$D$50*$D$47*$B$68)*($B$57/$D$60))</f>
        <v>760.87878635666232</v>
      </c>
      <c r="H62" s="181">
        <f t="shared" si="0"/>
        <v>95.10984829458279</v>
      </c>
      <c r="L62" s="93"/>
    </row>
    <row r="63" spans="1:12" s="66" customFormat="1" ht="27" customHeight="1" x14ac:dyDescent="0.4">
      <c r="A63" s="111" t="s">
        <v>114</v>
      </c>
      <c r="B63" s="112">
        <v>1</v>
      </c>
      <c r="C63" s="183"/>
      <c r="D63" s="184"/>
      <c r="E63" s="185">
        <v>4</v>
      </c>
      <c r="F63" s="186"/>
      <c r="G63" s="180" t="str">
        <f>IF(ISBLANK(F63),"-",(F63/$D$50*$D$47*$B$68)*($B$57/$D$60))</f>
        <v>-</v>
      </c>
      <c r="H63" s="181" t="str">
        <f t="shared" si="0"/>
        <v>-</v>
      </c>
      <c r="I63" s="65"/>
      <c r="J63" s="65"/>
      <c r="K63" s="65"/>
      <c r="L63" s="65"/>
    </row>
    <row r="64" spans="1:12" s="66" customFormat="1" ht="26.25" customHeight="1" x14ac:dyDescent="0.4">
      <c r="A64" s="111" t="s">
        <v>115</v>
      </c>
      <c r="B64" s="112">
        <v>1</v>
      </c>
      <c r="C64" s="171" t="s">
        <v>69</v>
      </c>
      <c r="D64" s="172">
        <f>trimethoprim!D64</f>
        <v>1107.3399999999999</v>
      </c>
      <c r="E64" s="173">
        <v>1</v>
      </c>
      <c r="F64" s="174">
        <v>5825488</v>
      </c>
      <c r="G64" s="175">
        <f>IF(ISBLANK(F64),"-",(F64/$D$50*$D$47*$B$68)*($B$57/$D$64))</f>
        <v>772.3395412669779</v>
      </c>
      <c r="H64" s="176">
        <f t="shared" si="0"/>
        <v>96.542442658372238</v>
      </c>
      <c r="I64" s="65"/>
      <c r="J64" s="65"/>
      <c r="K64" s="65"/>
      <c r="L64" s="65"/>
    </row>
    <row r="65" spans="1:12" s="66" customFormat="1" ht="26.25" customHeight="1" x14ac:dyDescent="0.4">
      <c r="A65" s="111" t="s">
        <v>116</v>
      </c>
      <c r="B65" s="112">
        <v>1</v>
      </c>
      <c r="C65" s="177"/>
      <c r="D65" s="178"/>
      <c r="E65" s="179">
        <v>2</v>
      </c>
      <c r="F65" s="124">
        <v>5836303</v>
      </c>
      <c r="G65" s="180">
        <f>IF(ISBLANK(F65),"-",(F65/$D$50*$D$47*$B$68)*($B$57/$D$64))</f>
        <v>773.77338717633393</v>
      </c>
      <c r="H65" s="181">
        <f t="shared" si="0"/>
        <v>96.721673397041741</v>
      </c>
      <c r="I65" s="65"/>
      <c r="J65" s="65"/>
      <c r="K65" s="65"/>
      <c r="L65" s="65"/>
    </row>
    <row r="66" spans="1:12" s="66" customFormat="1" ht="26.25" customHeight="1" x14ac:dyDescent="0.4">
      <c r="A66" s="111" t="s">
        <v>117</v>
      </c>
      <c r="B66" s="112">
        <v>1</v>
      </c>
      <c r="C66" s="177"/>
      <c r="D66" s="178"/>
      <c r="E66" s="179">
        <v>3</v>
      </c>
      <c r="F66" s="124">
        <v>5861559</v>
      </c>
      <c r="G66" s="180">
        <f>IF(ISBLANK(F66),"-",(F66/$D$50*$D$47*$B$68)*($B$57/$D$64))</f>
        <v>777.12181179831214</v>
      </c>
      <c r="H66" s="181">
        <f t="shared" si="0"/>
        <v>97.140226474789017</v>
      </c>
      <c r="I66" s="65"/>
      <c r="J66" s="65"/>
      <c r="K66" s="65"/>
      <c r="L66" s="65"/>
    </row>
    <row r="67" spans="1:12" s="66" customFormat="1" ht="27" customHeight="1" x14ac:dyDescent="0.4">
      <c r="A67" s="111" t="s">
        <v>118</v>
      </c>
      <c r="B67" s="112">
        <v>1</v>
      </c>
      <c r="C67" s="183"/>
      <c r="D67" s="184"/>
      <c r="E67" s="185">
        <v>4</v>
      </c>
      <c r="F67" s="186"/>
      <c r="G67" s="187" t="str">
        <f>IF(ISBLANK(F67),"-",(F67/$D$50*$D$47*$B$68)*($B$57/$D$64))</f>
        <v>-</v>
      </c>
      <c r="H67" s="188" t="str">
        <f t="shared" si="0"/>
        <v>-</v>
      </c>
      <c r="I67" s="65"/>
      <c r="J67" s="65"/>
      <c r="K67" s="65"/>
      <c r="L67" s="65"/>
    </row>
    <row r="68" spans="1:12" s="66" customFormat="1" ht="26.25" customHeight="1" x14ac:dyDescent="0.4">
      <c r="A68" s="111" t="s">
        <v>70</v>
      </c>
      <c r="B68" s="189">
        <f>(B67/B66)*(B65/B64)*(B63/B62)*(B61/B60)*B59</f>
        <v>5000</v>
      </c>
      <c r="C68" s="171" t="s">
        <v>71</v>
      </c>
      <c r="D68" s="172">
        <f>trimethoprim!D68</f>
        <v>1070.96</v>
      </c>
      <c r="E68" s="173">
        <v>1</v>
      </c>
      <c r="F68" s="174">
        <v>5709093</v>
      </c>
      <c r="G68" s="175">
        <f>IF(ISBLANK(F68),"-",(F68/$D$50*$D$47*$B$68)*($B$57/$D$68))</f>
        <v>782.61976753600277</v>
      </c>
      <c r="H68" s="181">
        <f t="shared" si="0"/>
        <v>97.827470942000346</v>
      </c>
      <c r="I68" s="65"/>
      <c r="J68" s="65"/>
      <c r="K68" s="65"/>
      <c r="L68" s="65"/>
    </row>
    <row r="69" spans="1:12" s="66" customFormat="1" ht="27" customHeight="1" x14ac:dyDescent="0.4">
      <c r="A69" s="162" t="s">
        <v>72</v>
      </c>
      <c r="B69" s="190">
        <f>(D47*B68)/B56*B57</f>
        <v>1084.9745</v>
      </c>
      <c r="C69" s="177"/>
      <c r="D69" s="178"/>
      <c r="E69" s="179">
        <v>2</v>
      </c>
      <c r="F69" s="124">
        <v>5705021</v>
      </c>
      <c r="G69" s="180">
        <f>IF(ISBLANK(F69),"-",(F69/$D$50*$D$47*$B$68)*($B$57/$D$68))</f>
        <v>782.06156543745465</v>
      </c>
      <c r="H69" s="181">
        <f t="shared" si="0"/>
        <v>97.757695679681831</v>
      </c>
      <c r="I69" s="65"/>
      <c r="J69" s="65"/>
      <c r="K69" s="65"/>
      <c r="L69" s="65"/>
    </row>
    <row r="70" spans="1:12" s="66" customFormat="1" ht="26.25" customHeight="1" x14ac:dyDescent="0.4">
      <c r="A70" s="191" t="s">
        <v>53</v>
      </c>
      <c r="B70" s="192"/>
      <c r="C70" s="177"/>
      <c r="D70" s="178"/>
      <c r="E70" s="179">
        <v>3</v>
      </c>
      <c r="F70" s="124">
        <v>5706528</v>
      </c>
      <c r="G70" s="180">
        <f>IF(ISBLANK(F70),"-",(F70/$D$50*$D$47*$B$68)*($B$57/$D$68))</f>
        <v>782.26814956380815</v>
      </c>
      <c r="H70" s="181">
        <f t="shared" si="0"/>
        <v>97.783518695476019</v>
      </c>
      <c r="I70" s="65"/>
      <c r="J70" s="65"/>
      <c r="K70" s="65"/>
      <c r="L70" s="65"/>
    </row>
    <row r="71" spans="1:12" s="66" customFormat="1" ht="27" customHeight="1" x14ac:dyDescent="0.4">
      <c r="A71" s="193"/>
      <c r="B71" s="194"/>
      <c r="C71" s="195"/>
      <c r="D71" s="184"/>
      <c r="E71" s="185">
        <v>4</v>
      </c>
      <c r="F71" s="186"/>
      <c r="G71" s="187" t="str">
        <f>IF(ISBLANK(F71),"-",(F71/$D$50*$D$47*$B$68)*($B$57/$D$68))</f>
        <v>-</v>
      </c>
      <c r="H71" s="188" t="str">
        <f t="shared" si="0"/>
        <v>-</v>
      </c>
      <c r="I71" s="65"/>
      <c r="J71" s="65"/>
      <c r="K71" s="65"/>
      <c r="L71" s="65"/>
    </row>
    <row r="72" spans="1:12" s="66" customFormat="1" ht="26.25" customHeight="1" x14ac:dyDescent="0.4">
      <c r="A72" s="142"/>
      <c r="B72" s="142"/>
      <c r="C72" s="142"/>
      <c r="D72" s="142"/>
      <c r="E72" s="142"/>
      <c r="F72" s="196" t="s">
        <v>48</v>
      </c>
      <c r="G72" s="197">
        <f>AVERAGE(G60:G71)</f>
        <v>773.17335598210673</v>
      </c>
      <c r="H72" s="198">
        <f>AVERAGE(H60:H71)</f>
        <v>96.646669497763341</v>
      </c>
      <c r="I72" s="65"/>
      <c r="J72" s="65"/>
      <c r="K72" s="65"/>
      <c r="L72" s="65"/>
    </row>
    <row r="73" spans="1:12" s="66" customFormat="1" ht="26.25" customHeight="1" x14ac:dyDescent="0.4">
      <c r="A73" s="65"/>
      <c r="B73" s="65"/>
      <c r="C73" s="142"/>
      <c r="D73" s="142"/>
      <c r="E73" s="142"/>
      <c r="F73" s="199" t="s">
        <v>59</v>
      </c>
      <c r="G73" s="200">
        <f>STDEV(G60:G71)/G72</f>
        <v>1.127008792222599E-2</v>
      </c>
      <c r="H73" s="200">
        <f>STDEV(H60:H71)/H72</f>
        <v>1.127008792222599E-2</v>
      </c>
      <c r="I73" s="65"/>
      <c r="J73" s="65"/>
      <c r="K73" s="65"/>
      <c r="L73" s="65"/>
    </row>
    <row r="74" spans="1:12" s="66" customFormat="1" ht="27" customHeight="1" x14ac:dyDescent="0.4">
      <c r="A74" s="142"/>
      <c r="B74" s="142"/>
      <c r="C74" s="142"/>
      <c r="D74" s="142"/>
      <c r="E74" s="144"/>
      <c r="F74" s="201" t="s">
        <v>8</v>
      </c>
      <c r="G74" s="202">
        <f>COUNT(G60:G71)</f>
        <v>9</v>
      </c>
      <c r="H74" s="202">
        <f>COUNT(H60:H71)</f>
        <v>9</v>
      </c>
      <c r="I74" s="65"/>
      <c r="J74" s="65"/>
      <c r="K74" s="65"/>
      <c r="L74" s="65"/>
    </row>
    <row r="75" spans="1:12" s="66" customFormat="1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</row>
    <row r="76" spans="1:12" s="66" customFormat="1" ht="26.25" customHeight="1" x14ac:dyDescent="0.4">
      <c r="A76" s="84" t="s">
        <v>73</v>
      </c>
      <c r="B76" s="85" t="s">
        <v>74</v>
      </c>
      <c r="C76" s="203" t="str">
        <f>B26</f>
        <v>Sulfamethoxazole</v>
      </c>
      <c r="D76" s="203"/>
      <c r="E76" s="68" t="s">
        <v>75</v>
      </c>
      <c r="F76" s="68"/>
      <c r="G76" s="289">
        <f>H72</f>
        <v>96.646669497763341</v>
      </c>
      <c r="H76" s="94"/>
      <c r="I76" s="65"/>
      <c r="J76" s="65"/>
      <c r="K76" s="65"/>
      <c r="L76" s="65"/>
    </row>
    <row r="77" spans="1:12" s="66" customFormat="1" ht="18.75" x14ac:dyDescent="0.3">
      <c r="A77" s="83" t="s">
        <v>76</v>
      </c>
      <c r="B77" s="83" t="s">
        <v>77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</row>
    <row r="78" spans="1:12" s="66" customFormat="1" ht="18.75" x14ac:dyDescent="0.3">
      <c r="A78" s="83"/>
      <c r="B78" s="83"/>
      <c r="C78" s="65"/>
      <c r="D78" s="65"/>
      <c r="E78" s="65"/>
      <c r="F78" s="65"/>
      <c r="G78" s="65"/>
      <c r="H78" s="65"/>
      <c r="I78" s="65"/>
      <c r="J78" s="65"/>
      <c r="K78" s="65"/>
      <c r="L78" s="65"/>
    </row>
    <row r="79" spans="1:12" s="66" customFormat="1" ht="26.25" customHeight="1" x14ac:dyDescent="0.4">
      <c r="A79" s="84" t="s">
        <v>1</v>
      </c>
      <c r="B79" s="205" t="str">
        <f>B26</f>
        <v>Sulfamethoxazole</v>
      </c>
      <c r="C79" s="205"/>
      <c r="D79" s="65"/>
      <c r="E79" s="65"/>
      <c r="F79" s="65"/>
      <c r="G79" s="65"/>
      <c r="H79" s="65"/>
      <c r="I79" s="65"/>
      <c r="J79" s="65"/>
      <c r="K79" s="65"/>
      <c r="L79" s="65"/>
    </row>
    <row r="80" spans="1:12" s="66" customFormat="1" ht="26.25" customHeight="1" x14ac:dyDescent="0.4">
      <c r="A80" s="85" t="s">
        <v>31</v>
      </c>
      <c r="B80" s="205" t="str">
        <f>B27</f>
        <v>NDQE201607028</v>
      </c>
      <c r="C80" s="205"/>
      <c r="D80" s="65"/>
      <c r="E80" s="65"/>
      <c r="F80" s="65"/>
      <c r="G80" s="65"/>
      <c r="H80" s="65"/>
      <c r="I80" s="65"/>
      <c r="J80" s="65"/>
      <c r="K80" s="65"/>
      <c r="L80" s="65"/>
    </row>
    <row r="81" spans="1:12" s="66" customFormat="1" ht="27" customHeight="1" x14ac:dyDescent="0.4">
      <c r="A81" s="85" t="s">
        <v>3</v>
      </c>
      <c r="B81" s="87">
        <f>B28</f>
        <v>99.28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</row>
    <row r="82" spans="1:12" s="92" customFormat="1" ht="27" customHeight="1" x14ac:dyDescent="0.4">
      <c r="A82" s="85" t="s">
        <v>32</v>
      </c>
      <c r="B82" s="88">
        <v>0.26</v>
      </c>
      <c r="C82" s="89" t="s">
        <v>33</v>
      </c>
      <c r="D82" s="90"/>
      <c r="E82" s="90"/>
      <c r="F82" s="90"/>
      <c r="G82" s="91"/>
      <c r="I82" s="93"/>
      <c r="J82" s="93"/>
      <c r="K82" s="93"/>
      <c r="L82" s="93"/>
    </row>
    <row r="83" spans="1:12" s="92" customFormat="1" ht="19.5" customHeight="1" x14ac:dyDescent="0.3">
      <c r="A83" s="85" t="s">
        <v>34</v>
      </c>
      <c r="B83" s="94">
        <f>B81-B82</f>
        <v>99.02</v>
      </c>
      <c r="C83" s="95"/>
      <c r="D83" s="95"/>
      <c r="E83" s="95"/>
      <c r="F83" s="95"/>
      <c r="G83" s="96"/>
      <c r="I83" s="93"/>
      <c r="J83" s="93"/>
      <c r="K83" s="93"/>
      <c r="L83" s="93"/>
    </row>
    <row r="84" spans="1:12" s="92" customFormat="1" ht="27" customHeight="1" x14ac:dyDescent="0.4">
      <c r="A84" s="85" t="s">
        <v>35</v>
      </c>
      <c r="B84" s="97">
        <v>1</v>
      </c>
      <c r="C84" s="98" t="s">
        <v>78</v>
      </c>
      <c r="D84" s="99"/>
      <c r="E84" s="99"/>
      <c r="F84" s="99"/>
      <c r="G84" s="99"/>
      <c r="H84" s="100"/>
      <c r="I84" s="93"/>
      <c r="J84" s="93"/>
      <c r="K84" s="93"/>
      <c r="L84" s="93"/>
    </row>
    <row r="85" spans="1:12" s="92" customFormat="1" ht="27" customHeight="1" x14ac:dyDescent="0.4">
      <c r="A85" s="85" t="s">
        <v>37</v>
      </c>
      <c r="B85" s="97">
        <v>1</v>
      </c>
      <c r="C85" s="98" t="s">
        <v>79</v>
      </c>
      <c r="D85" s="99"/>
      <c r="E85" s="99"/>
      <c r="F85" s="99"/>
      <c r="G85" s="99"/>
      <c r="H85" s="100"/>
      <c r="I85" s="93"/>
      <c r="J85" s="93"/>
      <c r="K85" s="93"/>
      <c r="L85" s="93"/>
    </row>
    <row r="86" spans="1:12" s="92" customFormat="1" ht="18.75" x14ac:dyDescent="0.3">
      <c r="A86" s="85"/>
      <c r="B86" s="103"/>
      <c r="C86" s="104"/>
      <c r="D86" s="104"/>
      <c r="E86" s="104"/>
      <c r="F86" s="104"/>
      <c r="G86" s="104"/>
      <c r="H86" s="104"/>
      <c r="I86" s="93"/>
      <c r="J86" s="93"/>
      <c r="K86" s="93"/>
      <c r="L86" s="93"/>
    </row>
    <row r="87" spans="1:12" s="92" customFormat="1" ht="18.75" x14ac:dyDescent="0.3">
      <c r="A87" s="85" t="s">
        <v>39</v>
      </c>
      <c r="B87" s="105">
        <f>B84/B85</f>
        <v>1</v>
      </c>
      <c r="C87" s="68" t="s">
        <v>40</v>
      </c>
      <c r="D87" s="68"/>
      <c r="E87" s="68"/>
      <c r="F87" s="68"/>
      <c r="G87" s="68"/>
      <c r="I87" s="93"/>
      <c r="J87" s="93"/>
      <c r="K87" s="93"/>
      <c r="L87" s="93"/>
    </row>
    <row r="88" spans="1:12" s="66" customFormat="1" ht="19.5" customHeight="1" x14ac:dyDescent="0.3">
      <c r="A88" s="83"/>
      <c r="B88" s="83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 spans="1:12" s="66" customFormat="1" ht="27" customHeight="1" x14ac:dyDescent="0.4">
      <c r="A89" s="106" t="s">
        <v>41</v>
      </c>
      <c r="B89" s="107">
        <v>100</v>
      </c>
      <c r="C89" s="65"/>
      <c r="D89" s="206" t="s">
        <v>42</v>
      </c>
      <c r="E89" s="207"/>
      <c r="F89" s="108" t="s">
        <v>43</v>
      </c>
      <c r="G89" s="110"/>
      <c r="H89" s="65"/>
      <c r="I89" s="65"/>
      <c r="J89" s="65"/>
      <c r="K89" s="65"/>
      <c r="L89" s="65"/>
    </row>
    <row r="90" spans="1:12" s="66" customFormat="1" ht="27" customHeight="1" x14ac:dyDescent="0.4">
      <c r="A90" s="111" t="s">
        <v>103</v>
      </c>
      <c r="B90" s="112">
        <v>1</v>
      </c>
      <c r="C90" s="283" t="s">
        <v>44</v>
      </c>
      <c r="D90" s="114" t="s">
        <v>45</v>
      </c>
      <c r="E90" s="115" t="s">
        <v>46</v>
      </c>
      <c r="F90" s="114" t="s">
        <v>45</v>
      </c>
      <c r="G90" s="212" t="s">
        <v>46</v>
      </c>
      <c r="H90" s="65"/>
      <c r="I90" s="117" t="s">
        <v>47</v>
      </c>
      <c r="J90" s="65"/>
      <c r="K90" s="65"/>
      <c r="L90" s="65"/>
    </row>
    <row r="91" spans="1:12" s="66" customFormat="1" ht="26.25" customHeight="1" x14ac:dyDescent="0.4">
      <c r="A91" s="111" t="s">
        <v>104</v>
      </c>
      <c r="B91" s="112">
        <v>1</v>
      </c>
      <c r="C91" s="291">
        <v>1</v>
      </c>
      <c r="D91" s="119">
        <v>5233427</v>
      </c>
      <c r="E91" s="120">
        <f>IF(ISBLANK(D91),"-",$D$101/$D$98*D91)</f>
        <v>6524965.6510344585</v>
      </c>
      <c r="F91" s="119">
        <v>6892109</v>
      </c>
      <c r="G91" s="121">
        <f>IF(ISBLANK(F91),"-",$D$101/$F$98*F91)</f>
        <v>6613523.4988737963</v>
      </c>
      <c r="H91" s="65"/>
      <c r="I91" s="122"/>
      <c r="J91" s="65"/>
      <c r="K91" s="65"/>
      <c r="L91" s="65"/>
    </row>
    <row r="92" spans="1:12" s="66" customFormat="1" ht="26.25" customHeight="1" x14ac:dyDescent="0.4">
      <c r="A92" s="111" t="s">
        <v>105</v>
      </c>
      <c r="B92" s="112">
        <v>1</v>
      </c>
      <c r="C92" s="142">
        <v>2</v>
      </c>
      <c r="D92" s="124">
        <v>5231083</v>
      </c>
      <c r="E92" s="125">
        <f>IF(ISBLANK(D92),"-",$D$101/$D$98*D92)</f>
        <v>6522043.1836940292</v>
      </c>
      <c r="F92" s="124">
        <v>6894375</v>
      </c>
      <c r="G92" s="126">
        <f>IF(ISBLANK(F92),"-",$D$101/$F$98*F92)</f>
        <v>6615697.9050313961</v>
      </c>
      <c r="H92" s="65"/>
      <c r="I92" s="127">
        <f>ABS((F96/D96*D95)-F95)/D95</f>
        <v>1.700423319855698E-2</v>
      </c>
      <c r="J92" s="65"/>
      <c r="K92" s="65"/>
      <c r="L92" s="65"/>
    </row>
    <row r="93" spans="1:12" s="66" customFormat="1" ht="26.25" customHeight="1" x14ac:dyDescent="0.4">
      <c r="A93" s="111" t="s">
        <v>106</v>
      </c>
      <c r="B93" s="112">
        <v>1</v>
      </c>
      <c r="C93" s="142">
        <v>3</v>
      </c>
      <c r="D93" s="124">
        <v>5239133</v>
      </c>
      <c r="E93" s="125">
        <f>IF(ISBLANK(D93),"-",$D$101/$D$98*D93)</f>
        <v>6532079.8142786967</v>
      </c>
      <c r="F93" s="124">
        <v>6884375</v>
      </c>
      <c r="G93" s="126">
        <f>IF(ISBLANK(F93),"-",$D$101/$F$98*F93)</f>
        <v>6606102.1143976822</v>
      </c>
      <c r="H93" s="65"/>
      <c r="I93" s="127"/>
      <c r="J93" s="65"/>
      <c r="K93" s="65"/>
      <c r="L93" s="65"/>
    </row>
    <row r="94" spans="1:12" s="66" customFormat="1" ht="27" customHeight="1" x14ac:dyDescent="0.4">
      <c r="A94" s="111" t="s">
        <v>107</v>
      </c>
      <c r="B94" s="112">
        <v>1</v>
      </c>
      <c r="C94" s="292">
        <v>4</v>
      </c>
      <c r="D94" s="129"/>
      <c r="E94" s="130" t="str">
        <f>IF(ISBLANK(D94),"-",$D$101/$D$98*D94)</f>
        <v>-</v>
      </c>
      <c r="F94" s="129"/>
      <c r="G94" s="131" t="str">
        <f>IF(ISBLANK(F94),"-",$D$101/$F$98*F94)</f>
        <v>-</v>
      </c>
      <c r="H94" s="65"/>
      <c r="I94" s="132"/>
      <c r="J94" s="65"/>
      <c r="K94" s="65"/>
      <c r="L94" s="65"/>
    </row>
    <row r="95" spans="1:12" s="66" customFormat="1" ht="27" customHeight="1" x14ac:dyDescent="0.4">
      <c r="A95" s="111" t="s">
        <v>108</v>
      </c>
      <c r="B95" s="112">
        <v>1</v>
      </c>
      <c r="C95" s="85" t="s">
        <v>48</v>
      </c>
      <c r="D95" s="293">
        <f>AVERAGE(D91:D94)</f>
        <v>5234547.666666667</v>
      </c>
      <c r="E95" s="135">
        <f>AVERAGE(E91:E94)</f>
        <v>6526362.8830023939</v>
      </c>
      <c r="F95" s="230">
        <f>AVERAGE(F91:F94)</f>
        <v>6890286.333333333</v>
      </c>
      <c r="G95" s="231">
        <f>AVERAGE(G91:G94)</f>
        <v>6611774.5061009573</v>
      </c>
      <c r="H95" s="65"/>
      <c r="I95" s="65"/>
      <c r="J95" s="65"/>
      <c r="K95" s="65"/>
      <c r="L95" s="65"/>
    </row>
    <row r="96" spans="1:12" s="66" customFormat="1" ht="26.25" customHeight="1" x14ac:dyDescent="0.4">
      <c r="A96" s="111" t="s">
        <v>109</v>
      </c>
      <c r="B96" s="87">
        <v>1</v>
      </c>
      <c r="C96" s="294" t="s">
        <v>80</v>
      </c>
      <c r="D96" s="295">
        <f>D43</f>
        <v>14.4</v>
      </c>
      <c r="E96" s="68"/>
      <c r="F96" s="139">
        <f>F43</f>
        <v>18.71</v>
      </c>
      <c r="G96" s="65"/>
      <c r="H96" s="65"/>
      <c r="I96" s="65"/>
      <c r="J96" s="65"/>
      <c r="K96" s="65"/>
      <c r="L96" s="65"/>
    </row>
    <row r="97" spans="1:12" s="66" customFormat="1" ht="26.25" customHeight="1" x14ac:dyDescent="0.4">
      <c r="A97" s="111" t="s">
        <v>110</v>
      </c>
      <c r="B97" s="87">
        <v>1</v>
      </c>
      <c r="C97" s="234" t="s">
        <v>81</v>
      </c>
      <c r="D97" s="235">
        <f>D96*$B$87</f>
        <v>14.4</v>
      </c>
      <c r="E97" s="142"/>
      <c r="F97" s="141">
        <f>F96*$B$87</f>
        <v>18.71</v>
      </c>
      <c r="G97" s="65"/>
      <c r="H97" s="65"/>
      <c r="I97" s="65"/>
      <c r="J97" s="65"/>
      <c r="K97" s="65"/>
      <c r="L97" s="65"/>
    </row>
    <row r="98" spans="1:12" s="66" customFormat="1" ht="19.5" customHeight="1" x14ac:dyDescent="0.3">
      <c r="A98" s="111" t="s">
        <v>51</v>
      </c>
      <c r="B98" s="142">
        <f>(B97/B96)*(B95/B94)*(B93/B92)*(B91/B90)*B89</f>
        <v>100</v>
      </c>
      <c r="C98" s="234" t="s">
        <v>82</v>
      </c>
      <c r="D98" s="236">
        <f>D97*$B$83/100</f>
        <v>14.25888</v>
      </c>
      <c r="E98" s="144"/>
      <c r="F98" s="143">
        <f>F97*$B$83/100</f>
        <v>18.526641999999999</v>
      </c>
      <c r="G98" s="65"/>
      <c r="H98" s="65"/>
      <c r="I98" s="65"/>
      <c r="J98" s="65"/>
      <c r="K98" s="65"/>
      <c r="L98" s="65"/>
    </row>
    <row r="99" spans="1:12" s="66" customFormat="1" ht="19.5" customHeight="1" x14ac:dyDescent="0.3">
      <c r="A99" s="145" t="s">
        <v>53</v>
      </c>
      <c r="B99" s="237"/>
      <c r="C99" s="234" t="s">
        <v>83</v>
      </c>
      <c r="D99" s="238">
        <f>D98/$B$98</f>
        <v>0.14258879999999999</v>
      </c>
      <c r="E99" s="144"/>
      <c r="F99" s="149">
        <f>F98/$B$98</f>
        <v>0.18526641999999999</v>
      </c>
      <c r="G99" s="65"/>
      <c r="H99" s="137"/>
      <c r="I99" s="65"/>
      <c r="J99" s="65"/>
      <c r="K99" s="65"/>
      <c r="L99" s="65"/>
    </row>
    <row r="100" spans="1:12" s="66" customFormat="1" ht="19.5" customHeight="1" x14ac:dyDescent="0.3">
      <c r="A100" s="150"/>
      <c r="B100" s="239"/>
      <c r="C100" s="234" t="s">
        <v>55</v>
      </c>
      <c r="D100" s="240">
        <f>$B$56/$B$116</f>
        <v>0.17777777777777778</v>
      </c>
      <c r="E100" s="65"/>
      <c r="F100" s="156"/>
      <c r="G100" s="241"/>
      <c r="H100" s="137"/>
      <c r="I100" s="65"/>
      <c r="J100" s="65"/>
      <c r="K100" s="65"/>
      <c r="L100" s="65"/>
    </row>
    <row r="101" spans="1:12" s="66" customFormat="1" ht="18.75" x14ac:dyDescent="0.3">
      <c r="A101" s="65"/>
      <c r="B101" s="65"/>
      <c r="C101" s="234" t="s">
        <v>56</v>
      </c>
      <c r="D101" s="235">
        <f>D100*$B$98</f>
        <v>17.777777777777779</v>
      </c>
      <c r="E101" s="65"/>
      <c r="F101" s="156"/>
      <c r="G101" s="65"/>
      <c r="H101" s="137"/>
      <c r="I101" s="65"/>
      <c r="J101" s="65"/>
      <c r="K101" s="65"/>
      <c r="L101" s="65"/>
    </row>
    <row r="102" spans="1:12" s="66" customFormat="1" ht="19.5" customHeight="1" x14ac:dyDescent="0.3">
      <c r="A102" s="65"/>
      <c r="B102" s="65"/>
      <c r="C102" s="242" t="s">
        <v>57</v>
      </c>
      <c r="D102" s="243">
        <f>D101/B34</f>
        <v>17.777777777777779</v>
      </c>
      <c r="E102" s="65"/>
      <c r="F102" s="160"/>
      <c r="G102" s="65"/>
      <c r="H102" s="137"/>
      <c r="I102" s="65"/>
      <c r="J102" s="244"/>
      <c r="K102" s="65"/>
      <c r="L102" s="65"/>
    </row>
    <row r="103" spans="1:12" s="66" customFormat="1" ht="18.75" x14ac:dyDescent="0.3">
      <c r="A103" s="65"/>
      <c r="B103" s="65"/>
      <c r="C103" s="245" t="s">
        <v>84</v>
      </c>
      <c r="D103" s="246">
        <f>AVERAGE(E91:E94,G91:G94)</f>
        <v>6569068.6945516765</v>
      </c>
      <c r="E103" s="65"/>
      <c r="F103" s="160"/>
      <c r="G103" s="241"/>
      <c r="H103" s="137"/>
      <c r="I103" s="65"/>
      <c r="J103" s="247"/>
      <c r="K103" s="65"/>
      <c r="L103" s="65"/>
    </row>
    <row r="104" spans="1:12" s="66" customFormat="1" ht="18.75" x14ac:dyDescent="0.3">
      <c r="A104" s="65"/>
      <c r="B104" s="65"/>
      <c r="C104" s="199" t="s">
        <v>59</v>
      </c>
      <c r="D104" s="248">
        <f>STDEV(E91:E94,G91:G94)/D103</f>
        <v>7.1552749005459031E-3</v>
      </c>
      <c r="E104" s="65"/>
      <c r="F104" s="160"/>
      <c r="G104" s="65"/>
      <c r="H104" s="137"/>
      <c r="I104" s="65"/>
      <c r="J104" s="247"/>
      <c r="K104" s="65"/>
      <c r="L104" s="65"/>
    </row>
    <row r="105" spans="1:12" s="66" customFormat="1" ht="19.5" customHeight="1" x14ac:dyDescent="0.3">
      <c r="A105" s="65"/>
      <c r="B105" s="65"/>
      <c r="C105" s="201" t="s">
        <v>8</v>
      </c>
      <c r="D105" s="249">
        <f>COUNT(E91:E94,G91:G94)</f>
        <v>6</v>
      </c>
      <c r="E105" s="65"/>
      <c r="F105" s="160"/>
      <c r="G105" s="65"/>
      <c r="H105" s="137"/>
      <c r="I105" s="65"/>
      <c r="J105" s="247"/>
      <c r="K105" s="65"/>
      <c r="L105" s="65"/>
    </row>
    <row r="106" spans="1:12" s="66" customFormat="1" ht="19.5" customHeight="1" x14ac:dyDescent="0.3">
      <c r="A106" s="164"/>
      <c r="B106" s="164"/>
      <c r="C106" s="164"/>
      <c r="D106" s="164"/>
      <c r="E106" s="164"/>
      <c r="F106" s="65"/>
      <c r="G106" s="65"/>
      <c r="H106" s="65"/>
      <c r="I106" s="65"/>
      <c r="J106" s="65"/>
      <c r="K106" s="65"/>
      <c r="L106" s="65"/>
    </row>
    <row r="107" spans="1:12" s="66" customFormat="1" ht="27" customHeight="1" x14ac:dyDescent="0.4">
      <c r="A107" s="106" t="s">
        <v>85</v>
      </c>
      <c r="B107" s="107">
        <v>900</v>
      </c>
      <c r="C107" s="170" t="s">
        <v>86</v>
      </c>
      <c r="D107" s="170" t="s">
        <v>45</v>
      </c>
      <c r="E107" s="170" t="s">
        <v>87</v>
      </c>
      <c r="F107" s="250" t="s">
        <v>88</v>
      </c>
      <c r="G107" s="65"/>
      <c r="H107" s="65"/>
      <c r="I107" s="65"/>
      <c r="J107" s="65"/>
      <c r="K107" s="65"/>
      <c r="L107" s="65"/>
    </row>
    <row r="108" spans="1:12" s="66" customFormat="1" ht="26.25" customHeight="1" x14ac:dyDescent="0.4">
      <c r="A108" s="111" t="s">
        <v>119</v>
      </c>
      <c r="B108" s="112">
        <v>5</v>
      </c>
      <c r="C108" s="173">
        <v>1</v>
      </c>
      <c r="D108" s="251">
        <v>6220928</v>
      </c>
      <c r="E108" s="252">
        <f t="shared" ref="E108:E113" si="1">IF(ISBLANK(D108),"-",D108/$D$103*$D$100*$B$116)</f>
        <v>757.6024291126173</v>
      </c>
      <c r="F108" s="253">
        <f t="shared" ref="F108:F113" si="2">IF(ISBLANK(D108), "-", (E108/$B$56)*100)</f>
        <v>94.700303639077163</v>
      </c>
      <c r="G108" s="65"/>
      <c r="H108" s="65"/>
      <c r="I108" s="65"/>
      <c r="J108" s="65"/>
      <c r="K108" s="65"/>
      <c r="L108" s="65"/>
    </row>
    <row r="109" spans="1:12" s="66" customFormat="1" ht="26.25" customHeight="1" x14ac:dyDescent="0.4">
      <c r="A109" s="111" t="s">
        <v>112</v>
      </c>
      <c r="B109" s="112">
        <v>25</v>
      </c>
      <c r="C109" s="179">
        <v>2</v>
      </c>
      <c r="D109" s="254">
        <v>6224719</v>
      </c>
      <c r="E109" s="255">
        <f t="shared" si="1"/>
        <v>758.0641079503672</v>
      </c>
      <c r="F109" s="256">
        <f t="shared" si="2"/>
        <v>94.7580134937959</v>
      </c>
      <c r="G109" s="65"/>
      <c r="H109" s="65"/>
      <c r="I109" s="65"/>
      <c r="J109" s="65"/>
      <c r="K109" s="65"/>
      <c r="L109" s="65"/>
    </row>
    <row r="110" spans="1:12" s="66" customFormat="1" ht="26.25" customHeight="1" x14ac:dyDescent="0.4">
      <c r="A110" s="111" t="s">
        <v>113</v>
      </c>
      <c r="B110" s="112">
        <v>1</v>
      </c>
      <c r="C110" s="179">
        <v>3</v>
      </c>
      <c r="D110" s="254">
        <v>6228261</v>
      </c>
      <c r="E110" s="255">
        <f t="shared" si="1"/>
        <v>758.49546285495978</v>
      </c>
      <c r="F110" s="256">
        <f t="shared" si="2"/>
        <v>94.811932856869973</v>
      </c>
      <c r="G110" s="65"/>
      <c r="H110" s="65"/>
      <c r="I110" s="65"/>
      <c r="J110" s="65"/>
      <c r="K110" s="65"/>
      <c r="L110" s="65"/>
    </row>
    <row r="111" spans="1:12" s="66" customFormat="1" ht="26.25" customHeight="1" x14ac:dyDescent="0.4">
      <c r="A111" s="111" t="s">
        <v>114</v>
      </c>
      <c r="B111" s="112">
        <v>1</v>
      </c>
      <c r="C111" s="179">
        <v>4</v>
      </c>
      <c r="D111" s="254">
        <v>6227879</v>
      </c>
      <c r="E111" s="255">
        <f t="shared" si="1"/>
        <v>758.44894180087886</v>
      </c>
      <c r="F111" s="256">
        <f t="shared" si="2"/>
        <v>94.806117725109857</v>
      </c>
      <c r="G111" s="65"/>
      <c r="H111" s="65"/>
      <c r="I111" s="65"/>
      <c r="J111" s="65"/>
      <c r="K111" s="65"/>
      <c r="L111" s="65"/>
    </row>
    <row r="112" spans="1:12" s="66" customFormat="1" ht="26.25" customHeight="1" x14ac:dyDescent="0.4">
      <c r="A112" s="111" t="s">
        <v>115</v>
      </c>
      <c r="B112" s="112">
        <v>1</v>
      </c>
      <c r="C112" s="179">
        <v>5</v>
      </c>
      <c r="D112" s="254">
        <v>6220156</v>
      </c>
      <c r="E112" s="255">
        <f t="shared" si="1"/>
        <v>757.508412741543</v>
      </c>
      <c r="F112" s="256">
        <f t="shared" si="2"/>
        <v>94.688551592692875</v>
      </c>
      <c r="G112" s="65"/>
      <c r="H112" s="65"/>
      <c r="I112" s="65"/>
      <c r="J112" s="65"/>
      <c r="K112" s="65"/>
      <c r="L112" s="65"/>
    </row>
    <row r="113" spans="1:12" s="66" customFormat="1" ht="27" customHeight="1" x14ac:dyDescent="0.4">
      <c r="A113" s="111" t="s">
        <v>116</v>
      </c>
      <c r="B113" s="112">
        <v>1</v>
      </c>
      <c r="C113" s="185">
        <v>6</v>
      </c>
      <c r="D113" s="257">
        <v>6233216</v>
      </c>
      <c r="E113" s="258">
        <f t="shared" si="1"/>
        <v>759.09889694650565</v>
      </c>
      <c r="F113" s="259">
        <f t="shared" si="2"/>
        <v>94.887362118313206</v>
      </c>
      <c r="G113" s="65"/>
      <c r="H113" s="65"/>
      <c r="I113" s="65"/>
      <c r="J113" s="65"/>
      <c r="K113" s="65"/>
      <c r="L113" s="65"/>
    </row>
    <row r="114" spans="1:12" s="66" customFormat="1" ht="27" customHeight="1" x14ac:dyDescent="0.4">
      <c r="A114" s="111" t="s">
        <v>117</v>
      </c>
      <c r="B114" s="112">
        <v>1</v>
      </c>
      <c r="C114" s="260"/>
      <c r="D114" s="142"/>
      <c r="E114" s="68"/>
      <c r="F114" s="256"/>
      <c r="G114" s="65"/>
      <c r="H114" s="65"/>
      <c r="I114" s="65"/>
      <c r="J114" s="65"/>
      <c r="K114" s="65"/>
      <c r="L114" s="65"/>
    </row>
    <row r="115" spans="1:12" s="66" customFormat="1" ht="26.25" customHeight="1" x14ac:dyDescent="0.4">
      <c r="A115" s="111" t="s">
        <v>118</v>
      </c>
      <c r="B115" s="112">
        <v>1</v>
      </c>
      <c r="C115" s="260"/>
      <c r="D115" s="261" t="s">
        <v>48</v>
      </c>
      <c r="E115" s="262">
        <f>AVERAGE(E108:E113)</f>
        <v>758.2030419011453</v>
      </c>
      <c r="F115" s="263">
        <f>AVERAGE(F108:F113)</f>
        <v>94.775380237643162</v>
      </c>
      <c r="G115" s="65"/>
      <c r="H115" s="65"/>
      <c r="I115" s="65"/>
      <c r="J115" s="65"/>
      <c r="K115" s="65"/>
      <c r="L115" s="65"/>
    </row>
    <row r="116" spans="1:12" s="66" customFormat="1" ht="27" customHeight="1" x14ac:dyDescent="0.4">
      <c r="A116" s="111" t="s">
        <v>70</v>
      </c>
      <c r="B116" s="123">
        <f>(B115/B114)*(B113/B112)*(B111/B110)*(B109/B108)*B107</f>
        <v>4500</v>
      </c>
      <c r="C116" s="264"/>
      <c r="D116" s="265" t="s">
        <v>59</v>
      </c>
      <c r="E116" s="200">
        <f>STDEV(E108:E113)/E115</f>
        <v>7.937768358330943E-4</v>
      </c>
      <c r="F116" s="266">
        <f>STDEV(F108:F113)/F115</f>
        <v>7.937768358330943E-4</v>
      </c>
      <c r="G116" s="65"/>
      <c r="H116" s="65"/>
      <c r="I116" s="68"/>
      <c r="J116" s="65"/>
      <c r="K116" s="65"/>
      <c r="L116" s="65"/>
    </row>
    <row r="117" spans="1:12" s="66" customFormat="1" ht="27" customHeight="1" x14ac:dyDescent="0.4">
      <c r="A117" s="145" t="s">
        <v>53</v>
      </c>
      <c r="B117" s="146"/>
      <c r="C117" s="267"/>
      <c r="D117" s="201" t="s">
        <v>8</v>
      </c>
      <c r="E117" s="268">
        <f>COUNT(E108:E113)</f>
        <v>6</v>
      </c>
      <c r="F117" s="269">
        <f>COUNT(F108:F113)</f>
        <v>6</v>
      </c>
      <c r="G117" s="65"/>
      <c r="H117" s="65"/>
      <c r="I117" s="68"/>
      <c r="J117" s="247"/>
      <c r="K117" s="65"/>
      <c r="L117" s="65"/>
    </row>
    <row r="118" spans="1:12" s="66" customFormat="1" ht="26.25" customHeight="1" x14ac:dyDescent="0.3">
      <c r="A118" s="150"/>
      <c r="B118" s="151"/>
      <c r="C118" s="68"/>
      <c r="D118" s="270"/>
      <c r="E118" s="271" t="s">
        <v>89</v>
      </c>
      <c r="F118" s="272"/>
      <c r="G118" s="68"/>
      <c r="H118" s="68"/>
      <c r="I118" s="68"/>
      <c r="J118" s="65"/>
      <c r="K118" s="65"/>
      <c r="L118" s="65"/>
    </row>
    <row r="119" spans="1:12" s="66" customFormat="1" ht="25.5" customHeight="1" x14ac:dyDescent="0.4">
      <c r="A119" s="273"/>
      <c r="B119" s="104"/>
      <c r="C119" s="68"/>
      <c r="D119" s="265" t="s">
        <v>90</v>
      </c>
      <c r="E119" s="274">
        <f>MIN(E108:E113)</f>
        <v>757.508412741543</v>
      </c>
      <c r="F119" s="275">
        <f>MIN(F108:F113)</f>
        <v>94.688551592692875</v>
      </c>
      <c r="G119" s="68"/>
      <c r="H119" s="68"/>
      <c r="I119" s="68"/>
      <c r="J119" s="65"/>
      <c r="K119" s="65"/>
      <c r="L119" s="65"/>
    </row>
    <row r="120" spans="1:12" s="66" customFormat="1" ht="24" customHeight="1" x14ac:dyDescent="0.4">
      <c r="A120" s="273"/>
      <c r="B120" s="104"/>
      <c r="C120" s="68"/>
      <c r="D120" s="157" t="s">
        <v>91</v>
      </c>
      <c r="E120" s="276">
        <f>MAX(E108:E113)</f>
        <v>759.09889694650565</v>
      </c>
      <c r="F120" s="277">
        <f>MAX(F108:F113)</f>
        <v>94.887362118313206</v>
      </c>
      <c r="G120" s="68"/>
      <c r="H120" s="68"/>
      <c r="I120" s="68"/>
      <c r="J120" s="65"/>
      <c r="K120" s="65"/>
      <c r="L120" s="65"/>
    </row>
    <row r="121" spans="1:12" s="66" customFormat="1" ht="27" customHeight="1" x14ac:dyDescent="0.3">
      <c r="A121" s="273"/>
      <c r="B121" s="104"/>
      <c r="C121" s="68"/>
      <c r="D121" s="68"/>
      <c r="E121" s="68"/>
      <c r="F121" s="142"/>
      <c r="G121" s="68"/>
      <c r="H121" s="68"/>
      <c r="I121" s="68"/>
      <c r="J121" s="65"/>
      <c r="K121" s="65"/>
      <c r="L121" s="65"/>
    </row>
    <row r="122" spans="1:12" s="66" customFormat="1" ht="25.5" customHeight="1" x14ac:dyDescent="0.3">
      <c r="A122" s="273"/>
      <c r="B122" s="104"/>
      <c r="C122" s="68"/>
      <c r="D122" s="68"/>
      <c r="E122" s="68"/>
      <c r="F122" s="142"/>
      <c r="G122" s="68"/>
      <c r="H122" s="68"/>
      <c r="I122" s="68"/>
      <c r="J122" s="65"/>
      <c r="K122" s="65"/>
      <c r="L122" s="65"/>
    </row>
    <row r="123" spans="1:12" s="66" customFormat="1" ht="18.75" x14ac:dyDescent="0.3">
      <c r="A123" s="273"/>
      <c r="B123" s="104"/>
      <c r="C123" s="68"/>
      <c r="D123" s="68"/>
      <c r="E123" s="68"/>
      <c r="F123" s="142"/>
      <c r="G123" s="68"/>
      <c r="H123" s="68"/>
      <c r="I123" s="68"/>
      <c r="J123" s="65"/>
      <c r="K123" s="65"/>
      <c r="L123" s="65"/>
    </row>
    <row r="124" spans="1:12" s="66" customFormat="1" ht="45.75" customHeight="1" x14ac:dyDescent="0.65">
      <c r="A124" s="84" t="s">
        <v>73</v>
      </c>
      <c r="B124" s="85" t="s">
        <v>92</v>
      </c>
      <c r="C124" s="203" t="str">
        <f>B26</f>
        <v>Sulfamethoxazole</v>
      </c>
      <c r="D124" s="203"/>
      <c r="E124" s="68" t="s">
        <v>93</v>
      </c>
      <c r="F124" s="68"/>
      <c r="G124" s="278">
        <f>F115</f>
        <v>94.775380237643162</v>
      </c>
      <c r="H124" s="68"/>
      <c r="I124" s="68"/>
      <c r="J124" s="65"/>
      <c r="K124" s="65"/>
      <c r="L124" s="65"/>
    </row>
    <row r="125" spans="1:12" s="66" customFormat="1" ht="45.75" customHeight="1" x14ac:dyDescent="0.65">
      <c r="A125" s="84"/>
      <c r="B125" s="85" t="s">
        <v>94</v>
      </c>
      <c r="C125" s="85" t="s">
        <v>95</v>
      </c>
      <c r="D125" s="279">
        <f>MIN(F108:F113)</f>
        <v>94.688551592692875</v>
      </c>
      <c r="E125" s="85" t="s">
        <v>96</v>
      </c>
      <c r="F125" s="279">
        <f>MAX(F108:F113)</f>
        <v>94.887362118313206</v>
      </c>
      <c r="G125" s="204"/>
      <c r="H125" s="68"/>
      <c r="I125" s="68"/>
      <c r="J125" s="65"/>
      <c r="K125" s="65"/>
      <c r="L125" s="65"/>
    </row>
    <row r="126" spans="1:12" s="66" customFormat="1" ht="19.5" customHeight="1" x14ac:dyDescent="0.3">
      <c r="A126" s="280"/>
      <c r="B126" s="280"/>
      <c r="C126" s="281"/>
      <c r="D126" s="281"/>
      <c r="E126" s="281"/>
      <c r="F126" s="281"/>
      <c r="G126" s="281"/>
      <c r="H126" s="281"/>
      <c r="I126" s="65"/>
      <c r="J126" s="65"/>
      <c r="K126" s="65"/>
      <c r="L126" s="65"/>
    </row>
    <row r="127" spans="1:12" s="66" customFormat="1" ht="18.75" x14ac:dyDescent="0.3">
      <c r="A127" s="65"/>
      <c r="B127" s="282" t="s">
        <v>9</v>
      </c>
      <c r="C127" s="282"/>
      <c r="D127" s="65"/>
      <c r="E127" s="283" t="s">
        <v>10</v>
      </c>
      <c r="F127" s="284"/>
      <c r="G127" s="282" t="s">
        <v>11</v>
      </c>
      <c r="H127" s="282"/>
      <c r="I127" s="65"/>
      <c r="J127" s="65"/>
      <c r="K127" s="65"/>
      <c r="L127" s="65"/>
    </row>
    <row r="128" spans="1:12" s="66" customFormat="1" ht="69.95" customHeight="1" x14ac:dyDescent="0.3">
      <c r="A128" s="84" t="s">
        <v>12</v>
      </c>
      <c r="B128" s="285"/>
      <c r="C128" s="285"/>
      <c r="D128" s="65"/>
      <c r="E128" s="285"/>
      <c r="F128" s="68"/>
      <c r="G128" s="285"/>
      <c r="H128" s="285"/>
      <c r="I128" s="65"/>
      <c r="J128" s="65"/>
      <c r="K128" s="65"/>
      <c r="L128" s="65"/>
    </row>
    <row r="129" spans="1:12" s="66" customFormat="1" ht="69.95" customHeight="1" x14ac:dyDescent="0.3">
      <c r="A129" s="84" t="s">
        <v>13</v>
      </c>
      <c r="B129" s="286"/>
      <c r="C129" s="286"/>
      <c r="D129" s="65"/>
      <c r="E129" s="286"/>
      <c r="F129" s="68"/>
      <c r="G129" s="287"/>
      <c r="H129" s="287"/>
      <c r="I129" s="65"/>
      <c r="J129" s="65"/>
      <c r="K129" s="65"/>
      <c r="L129" s="65"/>
    </row>
    <row r="130" spans="1:12" ht="18.75" x14ac:dyDescent="0.3">
      <c r="A130" s="54"/>
      <c r="B130" s="54"/>
      <c r="C130" s="55"/>
      <c r="D130" s="55"/>
      <c r="E130" s="55"/>
      <c r="F130" s="56"/>
      <c r="G130" s="55"/>
      <c r="H130" s="55"/>
      <c r="I130" s="53"/>
    </row>
    <row r="131" spans="1:12" ht="18.75" x14ac:dyDescent="0.3">
      <c r="A131" s="54"/>
      <c r="B131" s="54"/>
      <c r="C131" s="55"/>
      <c r="D131" s="55"/>
      <c r="E131" s="55"/>
      <c r="F131" s="56"/>
      <c r="G131" s="55"/>
      <c r="H131" s="55"/>
      <c r="I131" s="53"/>
    </row>
    <row r="132" spans="1:12" ht="18.75" x14ac:dyDescent="0.3">
      <c r="A132" s="54"/>
      <c r="B132" s="54"/>
      <c r="C132" s="55"/>
      <c r="D132" s="55"/>
      <c r="E132" s="55"/>
      <c r="F132" s="56"/>
      <c r="G132" s="55"/>
      <c r="H132" s="55"/>
      <c r="I132" s="53"/>
    </row>
    <row r="133" spans="1:12" ht="18.75" x14ac:dyDescent="0.3">
      <c r="A133" s="54"/>
      <c r="B133" s="54"/>
      <c r="C133" s="55"/>
      <c r="D133" s="55"/>
      <c r="E133" s="55"/>
      <c r="F133" s="56"/>
      <c r="G133" s="55"/>
      <c r="H133" s="55"/>
      <c r="I133" s="53"/>
    </row>
    <row r="134" spans="1:12" ht="18.75" x14ac:dyDescent="0.3">
      <c r="A134" s="54"/>
      <c r="B134" s="54"/>
      <c r="C134" s="55"/>
      <c r="D134" s="55"/>
      <c r="E134" s="55"/>
      <c r="F134" s="56"/>
      <c r="G134" s="55"/>
      <c r="H134" s="55"/>
      <c r="I134" s="53"/>
    </row>
    <row r="135" spans="1:12" ht="18.75" x14ac:dyDescent="0.3">
      <c r="A135" s="54"/>
      <c r="B135" s="54"/>
      <c r="C135" s="55"/>
      <c r="D135" s="55"/>
      <c r="E135" s="55"/>
      <c r="F135" s="56"/>
      <c r="G135" s="55"/>
      <c r="H135" s="55"/>
      <c r="I135" s="53"/>
    </row>
    <row r="136" spans="1:12" ht="18.75" x14ac:dyDescent="0.3">
      <c r="A136" s="54"/>
      <c r="B136" s="54"/>
      <c r="C136" s="55"/>
      <c r="D136" s="55"/>
      <c r="E136" s="55"/>
      <c r="F136" s="56"/>
      <c r="G136" s="55"/>
      <c r="H136" s="55"/>
      <c r="I136" s="53"/>
    </row>
    <row r="137" spans="1:12" ht="18.75" x14ac:dyDescent="0.3">
      <c r="A137" s="54"/>
      <c r="B137" s="54"/>
      <c r="C137" s="55"/>
      <c r="D137" s="55"/>
      <c r="E137" s="55"/>
      <c r="F137" s="56"/>
      <c r="G137" s="55"/>
      <c r="H137" s="55"/>
      <c r="I137" s="53"/>
    </row>
    <row r="138" spans="1:12" ht="18.75" x14ac:dyDescent="0.3">
      <c r="A138" s="54"/>
      <c r="B138" s="54"/>
      <c r="C138" s="55"/>
      <c r="D138" s="55"/>
      <c r="E138" s="55"/>
      <c r="F138" s="56"/>
      <c r="G138" s="55"/>
      <c r="H138" s="55"/>
      <c r="I138" s="5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paperSize="9"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trimethoprim</vt:lpstr>
      <vt:lpstr>sulfamethoxazole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2017-03-14T12:12:42Z</cp:lastPrinted>
  <dcterms:created xsi:type="dcterms:W3CDTF">2005-07-05T10:19:27Z</dcterms:created>
  <dcterms:modified xsi:type="dcterms:W3CDTF">2017-03-14T12:15:29Z</dcterms:modified>
</cp:coreProperties>
</file>