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20730" windowHeight="11685" activeTab="1"/>
  </bookViews>
  <sheets>
    <sheet name="trimethoprim" sheetId="3" r:id="rId1"/>
    <sheet name="sulfamethoxazole" sheetId="4" r:id="rId2"/>
    <sheet name="Uniformity" sheetId="6" r:id="rId3"/>
  </sheets>
  <definedNames>
    <definedName name="_xlnm.Print_Area" localSheetId="1">sulfamethoxazole!$A$1:$I$130</definedName>
    <definedName name="_xlnm.Print_Area" localSheetId="0">trimethoprim!$A$1:$I$130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D68" i="4" l="1"/>
  <c r="D64" i="4"/>
  <c r="D60" i="4"/>
  <c r="C46" i="6" l="1"/>
  <c r="D50" i="6" s="1"/>
  <c r="C45" i="6"/>
  <c r="C19" i="6"/>
  <c r="B19" i="4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B57" i="3" l="1"/>
  <c r="B57" i="4" s="1"/>
  <c r="D37" i="6"/>
  <c r="D27" i="6"/>
  <c r="D35" i="6"/>
  <c r="D43" i="6"/>
  <c r="D28" i="6"/>
  <c r="D36" i="6"/>
  <c r="D30" i="6"/>
  <c r="D29" i="6"/>
  <c r="C49" i="6"/>
  <c r="D24" i="6"/>
  <c r="D40" i="6"/>
  <c r="D25" i="6"/>
  <c r="D33" i="6"/>
  <c r="D41" i="6"/>
  <c r="C50" i="6"/>
  <c r="D38" i="6"/>
  <c r="B49" i="6"/>
  <c r="D31" i="6"/>
  <c r="D39" i="6"/>
  <c r="D32" i="6"/>
  <c r="D49" i="6"/>
  <c r="D26" i="6"/>
  <c r="D34" i="6"/>
  <c r="D42" i="6"/>
  <c r="B69" i="3"/>
  <c r="B69" i="4"/>
  <c r="I92" i="4"/>
  <c r="D101" i="4"/>
  <c r="D102" i="4" s="1"/>
  <c r="D97" i="4"/>
  <c r="D98" i="4" s="1"/>
  <c r="D99" i="4" s="1"/>
  <c r="D101" i="3"/>
  <c r="F97" i="3"/>
  <c r="F98" i="3" s="1"/>
  <c r="F99" i="3" s="1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/>
  <c r="G41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D50" i="4"/>
  <c r="E42" i="4"/>
  <c r="D52" i="4"/>
  <c r="E109" i="3" l="1"/>
  <c r="F109" i="3" s="1"/>
  <c r="E113" i="3"/>
  <c r="F113" i="3" s="1"/>
  <c r="E108" i="3"/>
  <c r="F108" i="3" s="1"/>
  <c r="G66" i="3"/>
  <c r="H66" i="3" s="1"/>
  <c r="E111" i="3"/>
  <c r="F111" i="3" s="1"/>
  <c r="G69" i="3"/>
  <c r="H69" i="3" s="1"/>
  <c r="D104" i="4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<sst xmlns="http://schemas.openxmlformats.org/spreadsheetml/2006/main" count="357" uniqueCount="120">
  <si>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</si>
  <si>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</si>
  <si>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</si>
  <si>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</si>
  <si>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</si>
  <si>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</si>
  <si>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</si>
  <si>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</si>
  <si>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</si>
  <si>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</si>
  <si>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</si>
  <si>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</si>
  <si>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</si>
  <si>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</si>
  <si>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</si>
  <si>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</si>
  <si>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</si>
  <si>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</si>
  <si>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</si>
  <si>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</si>
  <si>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</si>
  <si>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</si>
  <si>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</si>
  <si>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</si>
  <si>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</si>
  <si>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</si>
  <si>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</si>
  <si>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</si>
  <si>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</si>
  <si>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</si>
  <si>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</si>
  <si>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</si>
  <si>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</si>
  <si>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</si>
  <si>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</si>
  <si>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</si>
  <si>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</si>
  <si>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</si>
  <si>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</si>
  <si>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</si>
  <si>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</si>
  <si>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</si>
  <si>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</si>
  <si>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</si>
  <si>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</si>
  <si>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</si>
  <si>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</si>
  <si>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</si>
  <si>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</si>
  <si>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</si>
  <si>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</si>
  <si>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</si>
  <si>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</si>
  <si>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</si>
  <si>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</si>
  <si>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</si>
  <si>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</si>
  <si>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</si>
  <si>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</si>
  <si>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</si>
  <si>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</si>
  <si>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</si>
  <si>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</si>
  <si>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</si>
  <si>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</si>
  <si>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</si>
  <si>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</si>
  <si>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</si>
  <si>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</si>
  <si>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</si>
  <si>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</si>
  <si>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</si>
  <si>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</si>
  <si>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</si>
  <si>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</si>
  <si>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</si>
  <si>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</si>
  <si>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</si>
  <si>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</si>
  <si>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</si>
  <si>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</si>
  <si>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</si>
  <si>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</si>
  <si>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</si>
  <si>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</si>
  <si>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</si>
  <si>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</si>
  <si>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</si>
  <si>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</si>
  <si>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</si>
  <si>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</si>
  <si>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</si>
  <si>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</si>
  <si>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</si>
  <si>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</si>
  <si>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</si>
  <si>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</si>
  <si>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NDQE201607028</t>
  </si>
  <si>
    <t>Sulfamethoxazole</t>
  </si>
  <si>
    <t>Each tablet contains  Trimethoprim 160 mg</t>
  </si>
  <si>
    <t>Trimethoprim BP</t>
  </si>
  <si>
    <t>NDQB201701329</t>
  </si>
  <si>
    <t>2017-01-26 07:28:17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</si>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</sst>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72"/>
      <color rgb="FFFF0000"/>
      <name val="Book Antiqua"/>
      <family val="1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sz val="10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u/>
      <sz val="14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vertAlign val="superscript"/>
      <sz val="14"/>
      <color rgb="FFFF0000"/>
      <name val="Book Antiqua"/>
      <family val="1"/>
    </font>
    <font>
      <sz val="14"/>
      <color rgb="FFFF0000"/>
      <name val="Arial"/>
      <family val="2"/>
    </font>
    <font>
      <b/>
      <sz val="36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3" fillId="2" borderId="0"/>
  </cellStyleXfs>
  <cellXfs count="275">
    <xf numFmtId="0" fontId="0" fillId="2" borderId="0" xfId="0" applyFill="1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1" fillId="2" borderId="0" xfId="2" applyFont="1" applyFill="1"/>
    <xf numFmtId="0" fontId="13" fillId="2" borderId="0" xfId="2" applyFill="1"/>
    <xf numFmtId="0" fontId="8" fillId="2" borderId="0" xfId="2" applyFont="1" applyFill="1" applyAlignment="1">
      <alignment wrapText="1"/>
    </xf>
    <xf numFmtId="0" fontId="3" fillId="2" borderId="0" xfId="2" applyFont="1" applyFill="1"/>
    <xf numFmtId="0" fontId="5" fillId="2" borderId="0" xfId="2" applyFont="1" applyFill="1"/>
    <xf numFmtId="167" fontId="5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right"/>
    </xf>
    <xf numFmtId="167" fontId="5" fillId="2" borderId="0" xfId="2" applyNumberFormat="1" applyFont="1" applyFill="1"/>
    <xf numFmtId="0" fontId="3" fillId="2" borderId="0" xfId="2" applyFont="1" applyFill="1" applyAlignment="1">
      <alignment horizontal="left"/>
    </xf>
    <xf numFmtId="0" fontId="7" fillId="2" borderId="0" xfId="2" applyFont="1" applyFill="1"/>
    <xf numFmtId="164" fontId="1" fillId="2" borderId="0" xfId="2" applyNumberFormat="1" applyFont="1" applyFill="1"/>
    <xf numFmtId="164" fontId="4" fillId="2" borderId="6" xfId="2" applyNumberFormat="1" applyFont="1" applyFill="1" applyBorder="1" applyAlignment="1">
      <alignment horizontal="center" wrapText="1"/>
    </xf>
    <xf numFmtId="0" fontId="4" fillId="2" borderId="6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2" fontId="5" fillId="3" borderId="8" xfId="2" applyNumberFormat="1" applyFont="1" applyFill="1" applyBorder="1" applyProtection="1">
      <protection locked="0"/>
    </xf>
    <xf numFmtId="10" fontId="5" fillId="2" borderId="7" xfId="2" applyNumberFormat="1" applyFont="1" applyFill="1" applyBorder="1" applyAlignment="1">
      <alignment horizontal="center"/>
    </xf>
    <xf numFmtId="10" fontId="5" fillId="2" borderId="0" xfId="2" applyNumberFormat="1" applyFont="1" applyFill="1" applyAlignment="1">
      <alignment horizontal="center"/>
    </xf>
    <xf numFmtId="10" fontId="5" fillId="2" borderId="8" xfId="2" applyNumberFormat="1" applyFont="1" applyFill="1" applyBorder="1" applyAlignment="1">
      <alignment horizontal="center"/>
    </xf>
    <xf numFmtId="2" fontId="5" fillId="3" borderId="9" xfId="2" applyNumberFormat="1" applyFont="1" applyFill="1" applyBorder="1" applyProtection="1">
      <protection locked="0"/>
    </xf>
    <xf numFmtId="10" fontId="5" fillId="2" borderId="9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5" fillId="2" borderId="6" xfId="2" applyFont="1" applyFill="1" applyBorder="1" applyAlignment="1">
      <alignment horizontal="right" vertical="center"/>
    </xf>
    <xf numFmtId="166" fontId="5" fillId="2" borderId="6" xfId="2" applyNumberFormat="1" applyFont="1" applyFill="1" applyBorder="1" applyAlignment="1">
      <alignment horizontal="center" vertical="center"/>
    </xf>
    <xf numFmtId="166" fontId="5" fillId="2" borderId="0" xfId="2" applyNumberFormat="1" applyFont="1" applyFill="1" applyAlignment="1">
      <alignment horizontal="center"/>
    </xf>
    <xf numFmtId="164" fontId="4" fillId="2" borderId="6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Alignment="1">
      <alignment horizontal="right"/>
    </xf>
    <xf numFmtId="2" fontId="4" fillId="2" borderId="0" xfId="2" applyNumberFormat="1" applyFont="1" applyFill="1"/>
    <xf numFmtId="2" fontId="6" fillId="2" borderId="0" xfId="2" applyNumberFormat="1" applyFont="1" applyFill="1"/>
    <xf numFmtId="0" fontId="4" fillId="2" borderId="6" xfId="2" applyFont="1" applyFill="1" applyBorder="1" applyAlignment="1">
      <alignment horizontal="center" vertical="center"/>
    </xf>
    <xf numFmtId="10" fontId="2" fillId="2" borderId="0" xfId="2" applyNumberFormat="1" applyFont="1" applyFill="1"/>
    <xf numFmtId="165" fontId="4" fillId="2" borderId="10" xfId="2" applyNumberFormat="1" applyFont="1" applyFill="1" applyBorder="1" applyAlignment="1">
      <alignment horizontal="center"/>
    </xf>
    <xf numFmtId="2" fontId="4" fillId="2" borderId="6" xfId="2" applyNumberFormat="1" applyFont="1" applyFill="1" applyBorder="1" applyAlignment="1">
      <alignment horizontal="center" vertical="center"/>
    </xf>
    <xf numFmtId="165" fontId="4" fillId="2" borderId="11" xfId="2" applyNumberFormat="1" applyFont="1" applyFill="1" applyBorder="1" applyAlignment="1">
      <alignment horizontal="center"/>
    </xf>
    <xf numFmtId="0" fontId="5" fillId="2" borderId="3" xfId="2" applyFont="1" applyFill="1" applyBorder="1"/>
    <xf numFmtId="0" fontId="5" fillId="2" borderId="0" xfId="2" applyFont="1" applyFill="1" applyAlignment="1">
      <alignment horizontal="center"/>
    </xf>
    <xf numFmtId="10" fontId="5" fillId="2" borderId="3" xfId="2" applyNumberFormat="1" applyFont="1" applyFill="1" applyBorder="1"/>
    <xf numFmtId="0" fontId="4" fillId="2" borderId="4" xfId="2" applyFont="1" applyFill="1" applyBorder="1"/>
    <xf numFmtId="0" fontId="4" fillId="2" borderId="4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2" xfId="2" applyFont="1" applyFill="1" applyBorder="1"/>
    <xf numFmtId="0" fontId="4" fillId="2" borderId="5" xfId="2" applyFont="1" applyFill="1" applyBorder="1"/>
    <xf numFmtId="0" fontId="4" fillId="2" borderId="0" xfId="2" applyFont="1" applyFill="1"/>
    <xf numFmtId="0" fontId="5" fillId="2" borderId="5" xfId="2" applyFont="1" applyFill="1" applyBorder="1"/>
    <xf numFmtId="166" fontId="4" fillId="2" borderId="7" xfId="2" applyNumberFormat="1" applyFont="1" applyFill="1" applyBorder="1" applyAlignment="1">
      <alignment horizontal="center" vertical="center"/>
    </xf>
    <xf numFmtId="166" fontId="4" fillId="2" borderId="9" xfId="2" applyNumberFormat="1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wrapText="1"/>
    </xf>
    <xf numFmtId="0" fontId="8" fillId="2" borderId="13" xfId="2" applyFont="1" applyFill="1" applyBorder="1" applyAlignment="1">
      <alignment horizontal="center" wrapText="1"/>
    </xf>
    <xf numFmtId="0" fontId="8" fillId="2" borderId="14" xfId="2" applyFont="1" applyFill="1" applyBorder="1" applyAlignment="1">
      <alignment horizontal="center" wrapText="1"/>
    </xf>
    <xf numFmtId="0" fontId="3" fillId="2" borderId="0" xfId="2" applyFont="1" applyFill="1" applyAlignment="1">
      <alignment horizontal="center"/>
    </xf>
    <xf numFmtId="0" fontId="4" fillId="2" borderId="0" xfId="2" applyFont="1" applyFill="1" applyAlignment="1">
      <alignment horizontal="right"/>
    </xf>
    <xf numFmtId="164" fontId="1" fillId="2" borderId="0" xfId="2" applyNumberFormat="1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20" fillId="2" borderId="0" xfId="0" applyFont="1" applyFill="1"/>
    <xf numFmtId="0" fontId="21" fillId="3" borderId="0" xfId="0" applyFont="1" applyFill="1" applyAlignment="1" applyProtection="1">
      <alignment horizontal="left" wrapText="1"/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22" fillId="2" borderId="0" xfId="0" applyFont="1" applyFill="1"/>
    <xf numFmtId="0" fontId="22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Protection="1">
      <protection locked="0"/>
    </xf>
    <xf numFmtId="168" fontId="22" fillId="3" borderId="0" xfId="0" applyNumberFormat="1" applyFont="1" applyFill="1" applyAlignment="1" applyProtection="1">
      <alignment horizontal="center"/>
      <protection locked="0"/>
    </xf>
    <xf numFmtId="169" fontId="16" fillId="2" borderId="0" xfId="0" applyNumberFormat="1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0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22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24" fillId="2" borderId="1" xfId="0" applyFont="1" applyFill="1" applyBorder="1" applyAlignment="1">
      <alignment horizontal="center"/>
    </xf>
    <xf numFmtId="0" fontId="25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/>
    </xf>
    <xf numFmtId="0" fontId="26" fillId="2" borderId="0" xfId="0" applyFont="1" applyFill="1"/>
    <xf numFmtId="0" fontId="27" fillId="2" borderId="0" xfId="0" applyFont="1" applyFill="1"/>
    <xf numFmtId="2" fontId="21" fillId="3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2" fontId="2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20" fillId="2" borderId="0" xfId="0" applyNumberFormat="1" applyFont="1" applyFill="1" applyAlignment="1">
      <alignment horizontal="center"/>
    </xf>
    <xf numFmtId="0" fontId="16" fillId="2" borderId="15" xfId="0" applyFont="1" applyFill="1" applyBorder="1" applyAlignment="1">
      <alignment horizontal="right"/>
    </xf>
    <xf numFmtId="0" fontId="21" fillId="3" borderId="16" xfId="0" applyFont="1" applyFill="1" applyBorder="1" applyAlignment="1" applyProtection="1">
      <alignment horizontal="center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9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right"/>
    </xf>
    <xf numFmtId="0" fontId="21" fillId="3" borderId="18" xfId="0" applyFont="1" applyFill="1" applyBorder="1" applyAlignment="1" applyProtection="1">
      <alignment horizontal="center"/>
      <protection locked="0"/>
    </xf>
    <xf numFmtId="0" fontId="20" fillId="2" borderId="16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1" fillId="3" borderId="23" xfId="0" applyFont="1" applyFill="1" applyBorder="1" applyAlignment="1" applyProtection="1">
      <alignment horizontal="center"/>
      <protection locked="0"/>
    </xf>
    <xf numFmtId="171" fontId="16" fillId="2" borderId="20" xfId="0" applyNumberFormat="1" applyFont="1" applyFill="1" applyBorder="1" applyAlignment="1">
      <alignment horizontal="center"/>
    </xf>
    <xf numFmtId="171" fontId="16" fillId="2" borderId="24" xfId="0" applyNumberFormat="1" applyFont="1" applyFill="1" applyBorder="1" applyAlignment="1">
      <alignment horizontal="center"/>
    </xf>
    <xf numFmtId="0" fontId="29" fillId="2" borderId="7" xfId="0" applyFont="1" applyFill="1" applyBorder="1"/>
    <xf numFmtId="0" fontId="16" fillId="2" borderId="18" xfId="0" applyFont="1" applyFill="1" applyBorder="1" applyAlignment="1">
      <alignment horizontal="center"/>
    </xf>
    <xf numFmtId="0" fontId="21" fillId="3" borderId="17" xfId="0" applyFont="1" applyFill="1" applyBorder="1" applyAlignment="1" applyProtection="1">
      <alignment horizontal="center"/>
      <protection locked="0"/>
    </xf>
    <xf numFmtId="171" fontId="16" fillId="2" borderId="25" xfId="0" applyNumberFormat="1" applyFont="1" applyFill="1" applyBorder="1" applyAlignment="1">
      <alignment horizontal="center"/>
    </xf>
    <xf numFmtId="171" fontId="16" fillId="2" borderId="26" xfId="0" applyNumberFormat="1" applyFont="1" applyFill="1" applyBorder="1" applyAlignment="1">
      <alignment horizontal="center"/>
    </xf>
    <xf numFmtId="10" fontId="25" fillId="2" borderId="8" xfId="0" applyNumberFormat="1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/>
    </xf>
    <xf numFmtId="0" fontId="21" fillId="3" borderId="28" xfId="0" applyFont="1" applyFill="1" applyBorder="1" applyAlignment="1" applyProtection="1">
      <alignment horizontal="center"/>
      <protection locked="0"/>
    </xf>
    <xf numFmtId="171" fontId="16" fillId="2" borderId="29" xfId="0" applyNumberFormat="1" applyFont="1" applyFill="1" applyBorder="1" applyAlignment="1">
      <alignment horizontal="center"/>
    </xf>
    <xf numFmtId="171" fontId="16" fillId="2" borderId="30" xfId="0" applyNumberFormat="1" applyFont="1" applyFill="1" applyBorder="1" applyAlignment="1">
      <alignment horizontal="center"/>
    </xf>
    <xf numFmtId="0" fontId="16" fillId="2" borderId="9" xfId="0" applyFont="1" applyFill="1" applyBorder="1"/>
    <xf numFmtId="0" fontId="16" fillId="2" borderId="18" xfId="0" applyFont="1" applyFill="1" applyBorder="1" applyAlignment="1">
      <alignment horizontal="right"/>
    </xf>
    <xf numFmtId="1" fontId="20" fillId="4" borderId="31" xfId="0" applyNumberFormat="1" applyFont="1" applyFill="1" applyBorder="1" applyAlignment="1">
      <alignment horizontal="center"/>
    </xf>
    <xf numFmtId="171" fontId="20" fillId="4" borderId="32" xfId="0" applyNumberFormat="1" applyFont="1" applyFill="1" applyBorder="1" applyAlignment="1">
      <alignment horizontal="center"/>
    </xf>
    <xf numFmtId="171" fontId="20" fillId="4" borderId="33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34" xfId="0" applyFont="1" applyFill="1" applyBorder="1" applyAlignment="1">
      <alignment horizontal="right"/>
    </xf>
    <xf numFmtId="0" fontId="21" fillId="3" borderId="10" xfId="0" applyFont="1" applyFill="1" applyBorder="1" applyAlignment="1" applyProtection="1">
      <alignment horizontal="center"/>
      <protection locked="0"/>
    </xf>
    <xf numFmtId="0" fontId="16" fillId="2" borderId="5" xfId="0" applyFont="1" applyFill="1" applyBorder="1" applyAlignment="1">
      <alignment horizontal="right"/>
    </xf>
    <xf numFmtId="2" fontId="16" fillId="4" borderId="35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2" fontId="16" fillId="5" borderId="35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166" fontId="16" fillId="4" borderId="35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6" fontId="16" fillId="4" borderId="11" xfId="0" applyNumberFormat="1" applyFont="1" applyFill="1" applyBorder="1" applyAlignment="1">
      <alignment horizontal="center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6" fillId="2" borderId="36" xfId="0" applyFont="1" applyFill="1" applyBorder="1" applyAlignment="1">
      <alignment horizontal="right"/>
    </xf>
    <xf numFmtId="166" fontId="21" fillId="3" borderId="35" xfId="0" applyNumberFormat="1" applyFont="1" applyFill="1" applyBorder="1" applyAlignment="1" applyProtection="1">
      <alignment horizontal="center"/>
      <protection locked="0"/>
    </xf>
    <xf numFmtId="166" fontId="16" fillId="2" borderId="0" xfId="0" applyNumberFormat="1" applyFont="1" applyFill="1"/>
    <xf numFmtId="0" fontId="16" fillId="2" borderId="23" xfId="0" applyFont="1" applyFill="1" applyBorder="1" applyAlignment="1">
      <alignment horizontal="right"/>
    </xf>
    <xf numFmtId="1" fontId="16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right"/>
    </xf>
    <xf numFmtId="2" fontId="16" fillId="4" borderId="9" xfId="0" applyNumberFormat="1" applyFont="1" applyFill="1" applyBorder="1" applyAlignment="1">
      <alignment horizontal="center"/>
    </xf>
    <xf numFmtId="171" fontId="20" fillId="5" borderId="7" xfId="0" applyNumberFormat="1" applyFont="1" applyFill="1" applyBorder="1" applyAlignment="1">
      <alignment horizontal="center"/>
    </xf>
    <xf numFmtId="171" fontId="16" fillId="2" borderId="0" xfId="0" applyNumberFormat="1" applyFont="1" applyFill="1" applyAlignment="1">
      <alignment horizontal="center"/>
    </xf>
    <xf numFmtId="10" fontId="16" fillId="4" borderId="35" xfId="0" applyNumberFormat="1" applyFont="1" applyFill="1" applyBorder="1" applyAlignment="1">
      <alignment horizontal="center"/>
    </xf>
    <xf numFmtId="0" fontId="16" fillId="2" borderId="37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center"/>
    </xf>
    <xf numFmtId="0" fontId="23" fillId="2" borderId="0" xfId="0" applyFont="1" applyFill="1"/>
    <xf numFmtId="0" fontId="20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172" fontId="21" fillId="3" borderId="0" xfId="0" applyNumberFormat="1" applyFont="1" applyFill="1" applyAlignment="1" applyProtection="1">
      <alignment horizontal="center"/>
      <protection locked="0"/>
    </xf>
    <xf numFmtId="166" fontId="20" fillId="2" borderId="0" xfId="0" applyNumberFormat="1" applyFont="1" applyFill="1" applyAlignment="1" applyProtection="1">
      <alignment horizontal="center"/>
      <protection locked="0"/>
    </xf>
    <xf numFmtId="2" fontId="20" fillId="2" borderId="7" xfId="0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>
      <alignment horizontal="center"/>
    </xf>
    <xf numFmtId="0" fontId="21" fillId="3" borderId="15" xfId="0" applyFont="1" applyFill="1" applyBorder="1" applyAlignment="1" applyProtection="1">
      <alignment horizontal="center"/>
      <protection locked="0"/>
    </xf>
    <xf numFmtId="166" fontId="16" fillId="2" borderId="15" xfId="0" applyNumberFormat="1" applyFont="1" applyFill="1" applyBorder="1" applyAlignment="1">
      <alignment horizontal="center"/>
    </xf>
    <xf numFmtId="173" fontId="16" fillId="2" borderId="7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1" fillId="3" borderId="8" xfId="0" applyNumberFormat="1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>
      <alignment horizontal="center"/>
    </xf>
    <xf numFmtId="166" fontId="16" fillId="2" borderId="17" xfId="0" applyNumberFormat="1" applyFont="1" applyFill="1" applyBorder="1" applyAlignment="1">
      <alignment horizontal="center"/>
    </xf>
    <xf numFmtId="173" fontId="16" fillId="2" borderId="8" xfId="0" applyNumberFormat="1" applyFont="1" applyFill="1" applyBorder="1" applyAlignment="1">
      <alignment horizontal="center" vertical="center"/>
    </xf>
    <xf numFmtId="1" fontId="21" fillId="3" borderId="17" xfId="0" applyNumberFormat="1" applyFont="1" applyFill="1" applyBorder="1" applyAlignment="1" applyProtection="1">
      <alignment horizontal="center"/>
      <protection locked="0"/>
    </xf>
    <xf numFmtId="0" fontId="20" fillId="2" borderId="3" xfId="0" applyFont="1" applyFill="1" applyBorder="1" applyAlignment="1">
      <alignment horizontal="center" vertical="center"/>
    </xf>
    <xf numFmtId="2" fontId="21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>
      <alignment horizontal="center"/>
    </xf>
    <xf numFmtId="0" fontId="21" fillId="3" borderId="37" xfId="0" applyFont="1" applyFill="1" applyBorder="1" applyAlignment="1" applyProtection="1">
      <alignment horizontal="center"/>
      <protection locked="0"/>
    </xf>
    <xf numFmtId="166" fontId="16" fillId="2" borderId="37" xfId="0" applyNumberFormat="1" applyFont="1" applyFill="1" applyBorder="1" applyAlignment="1">
      <alignment horizontal="center"/>
    </xf>
    <xf numFmtId="173" fontId="16" fillId="2" borderId="9" xfId="0" applyNumberFormat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horizontal="right"/>
    </xf>
    <xf numFmtId="2" fontId="21" fillId="5" borderId="27" xfId="0" applyNumberFormat="1" applyFont="1" applyFill="1" applyBorder="1" applyAlignment="1">
      <alignment horizontal="center"/>
    </xf>
    <xf numFmtId="173" fontId="21" fillId="5" borderId="27" xfId="0" applyNumberFormat="1" applyFont="1" applyFill="1" applyBorder="1" applyAlignment="1">
      <alignment horizontal="center"/>
    </xf>
    <xf numFmtId="0" fontId="16" fillId="2" borderId="35" xfId="0" applyFont="1" applyFill="1" applyBorder="1" applyAlignment="1">
      <alignment horizontal="right"/>
    </xf>
    <xf numFmtId="10" fontId="21" fillId="4" borderId="48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right"/>
    </xf>
    <xf numFmtId="0" fontId="21" fillId="5" borderId="40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21" fillId="3" borderId="0" xfId="0" applyFont="1" applyFill="1" applyAlignment="1" applyProtection="1">
      <alignment horizontal="left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0" fontId="16" fillId="2" borderId="4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1" fontId="20" fillId="4" borderId="43" xfId="0" applyNumberFormat="1" applyFont="1" applyFill="1" applyBorder="1" applyAlignment="1">
      <alignment horizontal="center"/>
    </xf>
    <xf numFmtId="1" fontId="20" fillId="4" borderId="44" xfId="0" applyNumberFormat="1" applyFont="1" applyFill="1" applyBorder="1" applyAlignment="1">
      <alignment horizontal="center"/>
    </xf>
    <xf numFmtId="171" fontId="20" fillId="4" borderId="9" xfId="0" applyNumberFormat="1" applyFont="1" applyFill="1" applyBorder="1" applyAlignment="1">
      <alignment horizontal="center"/>
    </xf>
    <xf numFmtId="0" fontId="16" fillId="2" borderId="45" xfId="0" applyFont="1" applyFill="1" applyBorder="1" applyAlignment="1">
      <alignment horizontal="right"/>
    </xf>
    <xf numFmtId="0" fontId="21" fillId="3" borderId="46" xfId="0" applyFont="1" applyFill="1" applyBorder="1" applyAlignment="1" applyProtection="1">
      <alignment horizontal="center"/>
      <protection locked="0"/>
    </xf>
    <xf numFmtId="0" fontId="16" fillId="2" borderId="19" xfId="0" applyFont="1" applyFill="1" applyBorder="1" applyAlignment="1">
      <alignment horizontal="right"/>
    </xf>
    <xf numFmtId="2" fontId="16" fillId="4" borderId="21" xfId="0" applyNumberFormat="1" applyFont="1" applyFill="1" applyBorder="1" applyAlignment="1">
      <alignment horizontal="center"/>
    </xf>
    <xf numFmtId="2" fontId="16" fillId="5" borderId="21" xfId="0" applyNumberFormat="1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166" fontId="16" fillId="4" borderId="21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166" fontId="16" fillId="5" borderId="21" xfId="0" applyNumberFormat="1" applyFont="1" applyFill="1" applyBorder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6" fillId="2" borderId="47" xfId="0" applyFont="1" applyFill="1" applyBorder="1" applyAlignment="1">
      <alignment horizontal="right"/>
    </xf>
    <xf numFmtId="2" fontId="16" fillId="5" borderId="24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right"/>
    </xf>
    <xf numFmtId="171" fontId="20" fillId="5" borderId="10" xfId="0" applyNumberFormat="1" applyFont="1" applyFill="1" applyBorder="1" applyAlignment="1">
      <alignment horizontal="center"/>
    </xf>
    <xf numFmtId="10" fontId="20" fillId="4" borderId="35" xfId="0" applyNumberFormat="1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wrapText="1"/>
    </xf>
    <xf numFmtId="1" fontId="21" fillId="3" borderId="7" xfId="0" applyNumberFormat="1" applyFont="1" applyFill="1" applyBorder="1" applyAlignment="1" applyProtection="1">
      <alignment horizontal="center"/>
      <protection locked="0"/>
    </xf>
    <xf numFmtId="166" fontId="16" fillId="2" borderId="7" xfId="0" applyNumberFormat="1" applyFont="1" applyFill="1" applyBorder="1" applyAlignment="1">
      <alignment horizontal="center"/>
    </xf>
    <xf numFmtId="173" fontId="16" fillId="2" borderId="16" xfId="0" applyNumberFormat="1" applyFont="1" applyFill="1" applyBorder="1" applyAlignment="1">
      <alignment horizontal="center"/>
    </xf>
    <xf numFmtId="1" fontId="21" fillId="3" borderId="8" xfId="0" applyNumberFormat="1" applyFont="1" applyFill="1" applyBorder="1" applyAlignment="1" applyProtection="1">
      <alignment horizontal="center"/>
      <protection locked="0"/>
    </xf>
    <xf numFmtId="166" fontId="16" fillId="2" borderId="8" xfId="0" applyNumberFormat="1" applyFont="1" applyFill="1" applyBorder="1" applyAlignment="1">
      <alignment horizontal="center"/>
    </xf>
    <xf numFmtId="173" fontId="16" fillId="2" borderId="18" xfId="0" applyNumberFormat="1" applyFont="1" applyFill="1" applyBorder="1" applyAlignment="1">
      <alignment horizontal="center"/>
    </xf>
    <xf numFmtId="1" fontId="21" fillId="3" borderId="9" xfId="0" applyNumberFormat="1" applyFont="1" applyFill="1" applyBorder="1" applyAlignment="1" applyProtection="1">
      <alignment horizontal="center"/>
      <protection locked="0"/>
    </xf>
    <xf numFmtId="166" fontId="16" fillId="2" borderId="9" xfId="0" applyNumberFormat="1" applyFont="1" applyFill="1" applyBorder="1" applyAlignment="1">
      <alignment horizontal="center"/>
    </xf>
    <xf numFmtId="173" fontId="16" fillId="2" borderId="38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171" fontId="16" fillId="2" borderId="10" xfId="0" applyNumberFormat="1" applyFont="1" applyFill="1" applyBorder="1" applyAlignment="1">
      <alignment horizontal="right"/>
    </xf>
    <xf numFmtId="2" fontId="21" fillId="5" borderId="49" xfId="0" applyNumberFormat="1" applyFont="1" applyFill="1" applyBorder="1" applyAlignment="1">
      <alignment horizontal="center"/>
    </xf>
    <xf numFmtId="174" fontId="21" fillId="5" borderId="46" xfId="0" applyNumberFormat="1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8" xfId="0" applyFont="1" applyFill="1" applyBorder="1" applyAlignment="1">
      <alignment horizontal="right"/>
    </xf>
    <xf numFmtId="10" fontId="21" fillId="4" borderId="21" xfId="0" applyNumberFormat="1" applyFont="1" applyFill="1" applyBorder="1" applyAlignment="1">
      <alignment horizontal="center"/>
    </xf>
    <xf numFmtId="0" fontId="16" fillId="2" borderId="37" xfId="0" applyFont="1" applyFill="1" applyBorder="1"/>
    <xf numFmtId="0" fontId="21" fillId="5" borderId="22" xfId="0" applyFont="1" applyFill="1" applyBorder="1" applyAlignment="1">
      <alignment horizontal="center"/>
    </xf>
    <xf numFmtId="0" fontId="21" fillId="5" borderId="50" xfId="0" applyFont="1" applyFill="1" applyBorder="1" applyAlignment="1">
      <alignment horizontal="center"/>
    </xf>
    <xf numFmtId="0" fontId="16" fillId="2" borderId="7" xfId="0" applyFont="1" applyFill="1" applyBorder="1"/>
    <xf numFmtId="0" fontId="20" fillId="2" borderId="41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 vertical="center" wrapText="1"/>
    </xf>
    <xf numFmtId="2" fontId="21" fillId="4" borderId="48" xfId="0" applyNumberFormat="1" applyFont="1" applyFill="1" applyBorder="1" applyAlignment="1">
      <alignment horizontal="center"/>
    </xf>
    <xf numFmtId="174" fontId="21" fillId="4" borderId="48" xfId="0" applyNumberFormat="1" applyFont="1" applyFill="1" applyBorder="1" applyAlignment="1">
      <alignment horizontal="center"/>
    </xf>
    <xf numFmtId="2" fontId="21" fillId="5" borderId="40" xfId="0" applyNumberFormat="1" applyFont="1" applyFill="1" applyBorder="1" applyAlignment="1">
      <alignment horizontal="center"/>
    </xf>
    <xf numFmtId="174" fontId="21" fillId="5" borderId="40" xfId="0" applyNumberFormat="1" applyFont="1" applyFill="1" applyBorder="1" applyAlignment="1">
      <alignment horizontal="center"/>
    </xf>
    <xf numFmtId="175" fontId="30" fillId="2" borderId="0" xfId="0" applyNumberFormat="1" applyFont="1" applyFill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20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2" xfId="0" applyFont="1" applyFill="1" applyBorder="1"/>
    <xf numFmtId="0" fontId="20" fillId="2" borderId="5" xfId="0" applyFont="1" applyFill="1" applyBorder="1"/>
    <xf numFmtId="0" fontId="16" fillId="2" borderId="5" xfId="0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5" zoomScaleNormal="40" zoomScalePageLayoutView="55" workbookViewId="0">
      <selection activeCell="B19" sqref="B1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">
        <v>101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100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99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95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4">
      <c r="A27" s="95" t="s">
        <v>29</v>
      </c>
      <c r="B27" s="96" t="s">
        <v>96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99.3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0.35</v>
      </c>
      <c r="C29" s="99" t="s">
        <v>31</v>
      </c>
      <c r="D29" s="100"/>
      <c r="E29" s="100"/>
      <c r="F29" s="100"/>
      <c r="G29" s="101"/>
      <c r="H29" s="102"/>
      <c r="I29" s="103"/>
      <c r="J29" s="4"/>
      <c r="K29" s="4"/>
      <c r="L29" s="4"/>
    </row>
    <row r="30" spans="1:14" s="2" customFormat="1" ht="19.5" customHeight="1" x14ac:dyDescent="0.3">
      <c r="A30" s="95" t="s">
        <v>32</v>
      </c>
      <c r="B30" s="104">
        <f>B28-B29</f>
        <v>98.95</v>
      </c>
      <c r="C30" s="105"/>
      <c r="D30" s="105"/>
      <c r="E30" s="105"/>
      <c r="F30" s="105"/>
      <c r="G30" s="106"/>
      <c r="H30" s="102"/>
      <c r="I30" s="103"/>
      <c r="J30" s="4"/>
      <c r="K30" s="4"/>
      <c r="L30" s="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4"/>
      <c r="K31" s="4"/>
      <c r="L31" s="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4"/>
      <c r="K32" s="4"/>
      <c r="L32" s="5"/>
      <c r="M32" s="5"/>
      <c r="N32" s="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4"/>
      <c r="K33" s="4"/>
      <c r="L33" s="5"/>
      <c r="M33" s="5"/>
      <c r="N33" s="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4"/>
      <c r="K34" s="4"/>
      <c r="L34" s="5"/>
      <c r="M34" s="5"/>
      <c r="N34" s="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4"/>
      <c r="K35" s="4"/>
      <c r="L35" s="5"/>
      <c r="M35" s="5"/>
      <c r="N35" s="6"/>
    </row>
    <row r="36" spans="1:14" s="2" customFormat="1" ht="27" customHeight="1" x14ac:dyDescent="0.4">
      <c r="A36" s="114" t="s">
        <v>39</v>
      </c>
      <c r="B36" s="115">
        <v>20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4"/>
      <c r="K36" s="4"/>
      <c r="L36" s="5"/>
      <c r="M36" s="5"/>
      <c r="N36" s="6"/>
    </row>
    <row r="37" spans="1:14" s="2" customFormat="1" ht="27" customHeight="1" x14ac:dyDescent="0.4">
      <c r="A37" s="119" t="s">
        <v>103</v>
      </c>
      <c r="B37" s="120">
        <v>4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4"/>
      <c r="K37" s="4"/>
      <c r="L37" s="5"/>
      <c r="M37" s="5"/>
      <c r="N37" s="6"/>
    </row>
    <row r="38" spans="1:14" s="2" customFormat="1" ht="26.25" customHeight="1" x14ac:dyDescent="0.4">
      <c r="A38" s="119" t="s">
        <v>104</v>
      </c>
      <c r="B38" s="120">
        <v>100</v>
      </c>
      <c r="C38" s="126">
        <v>1</v>
      </c>
      <c r="D38" s="127">
        <v>463592</v>
      </c>
      <c r="E38" s="128">
        <f>IF(ISBLANK(D38),"-",$D$48/$D$45*D38)</f>
        <v>483001.41173038556</v>
      </c>
      <c r="F38" s="127">
        <v>493449</v>
      </c>
      <c r="G38" s="129">
        <f>IF(ISBLANK(F38),"-",$D$48/$F$45*F38)</f>
        <v>469903.59909794899</v>
      </c>
      <c r="H38" s="102"/>
      <c r="I38" s="130"/>
      <c r="J38" s="4"/>
      <c r="K38" s="4"/>
      <c r="L38" s="5"/>
      <c r="M38" s="5"/>
      <c r="N38" s="6"/>
    </row>
    <row r="39" spans="1:14" s="2" customFormat="1" ht="26.25" customHeight="1" x14ac:dyDescent="0.4">
      <c r="A39" s="119" t="s">
        <v>105</v>
      </c>
      <c r="B39" s="120">
        <v>1</v>
      </c>
      <c r="C39" s="131">
        <v>2</v>
      </c>
      <c r="D39" s="132">
        <v>461226</v>
      </c>
      <c r="E39" s="133">
        <f>IF(ISBLANK(D39),"-",$D$48/$D$45*D39)</f>
        <v>480536.35335976206</v>
      </c>
      <c r="F39" s="132">
        <v>494400</v>
      </c>
      <c r="G39" s="134">
        <f>IF(ISBLANK(F39),"-",$D$48/$F$45*F39)</f>
        <v>470809.22120427032</v>
      </c>
      <c r="H39" s="102"/>
      <c r="I39" s="135">
        <f>ABS((F43/D43*D42)-F42)/D42</f>
        <v>2.5681311034455988E-2</v>
      </c>
      <c r="J39" s="4"/>
      <c r="K39" s="4"/>
      <c r="L39" s="5"/>
      <c r="M39" s="5"/>
      <c r="N39" s="6"/>
    </row>
    <row r="40" spans="1:14" ht="26.25" customHeight="1" x14ac:dyDescent="0.4">
      <c r="A40" s="119" t="s">
        <v>106</v>
      </c>
      <c r="B40" s="120">
        <v>1</v>
      </c>
      <c r="C40" s="131">
        <v>3</v>
      </c>
      <c r="D40" s="132">
        <v>461961</v>
      </c>
      <c r="E40" s="133">
        <f>IF(ISBLANK(D40),"-",$D$48/$D$45*D40)</f>
        <v>481302.12593051791</v>
      </c>
      <c r="F40" s="132">
        <v>493773</v>
      </c>
      <c r="G40" s="134">
        <f>IF(ISBLANK(F40),"-",$D$48/$F$45*F40)</f>
        <v>470212.13912155369</v>
      </c>
      <c r="H40" s="78"/>
      <c r="I40" s="135"/>
      <c r="L40" s="5"/>
      <c r="M40" s="5"/>
      <c r="N40" s="7"/>
    </row>
    <row r="41" spans="1:14" ht="27" customHeight="1" x14ac:dyDescent="0.4">
      <c r="A41" s="119" t="s">
        <v>107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5"/>
      <c r="M41" s="5"/>
      <c r="N41" s="7"/>
    </row>
    <row r="42" spans="1:14" ht="27" customHeight="1" x14ac:dyDescent="0.4">
      <c r="A42" s="119" t="s">
        <v>108</v>
      </c>
      <c r="B42" s="120">
        <v>1</v>
      </c>
      <c r="C42" s="141" t="s">
        <v>46</v>
      </c>
      <c r="D42" s="142">
        <f>AVERAGE(D38:D41)</f>
        <v>462259.66666666669</v>
      </c>
      <c r="E42" s="143">
        <f>AVERAGE(E38:E41)</f>
        <v>481613.29700688849</v>
      </c>
      <c r="F42" s="142">
        <f>AVERAGE(F38:F41)</f>
        <v>493874</v>
      </c>
      <c r="G42" s="144">
        <f>AVERAGE(G38:G41)</f>
        <v>470308.31980792433</v>
      </c>
      <c r="H42" s="145"/>
      <c r="I42" s="78"/>
    </row>
    <row r="43" spans="1:14" ht="26.25" customHeight="1" x14ac:dyDescent="0.4">
      <c r="A43" s="119" t="s">
        <v>109</v>
      </c>
      <c r="B43" s="120">
        <v>1</v>
      </c>
      <c r="C43" s="146" t="s">
        <v>47</v>
      </c>
      <c r="D43" s="147">
        <v>15.52</v>
      </c>
      <c r="E43" s="77"/>
      <c r="F43" s="147">
        <v>16.98</v>
      </c>
      <c r="G43" s="78"/>
      <c r="H43" s="145"/>
      <c r="I43" s="78"/>
    </row>
    <row r="44" spans="1:14" ht="26.25" customHeight="1" x14ac:dyDescent="0.4">
      <c r="A44" s="119" t="s">
        <v>110</v>
      </c>
      <c r="B44" s="120">
        <v>1</v>
      </c>
      <c r="C44" s="148" t="s">
        <v>48</v>
      </c>
      <c r="D44" s="149">
        <f>D43*$B$34</f>
        <v>15.52</v>
      </c>
      <c r="E44" s="150"/>
      <c r="F44" s="149">
        <f>F43*$B$34</f>
        <v>16.98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500</v>
      </c>
      <c r="C45" s="148" t="s">
        <v>50</v>
      </c>
      <c r="D45" s="151">
        <f>D44*$B$30/100</f>
        <v>15.35704</v>
      </c>
      <c r="E45" s="152"/>
      <c r="F45" s="151">
        <f>F44*$B$30/100</f>
        <v>16.80171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3.0714079999999998E-2</v>
      </c>
      <c r="E46" s="156"/>
      <c r="F46" s="157">
        <f>F45/$B$45</f>
        <v>3.3603420000000002E-2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3.2000000000000001E-2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475960.80840740638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1.3131290026618858E-2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160</v>
      </c>
      <c r="C56" s="77" t="str">
        <f>B20</f>
        <v>Trimethoprim BP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Uniformity!C46</f>
        <v>1087.1855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4"/>
    </row>
    <row r="60" spans="1:12" s="2" customFormat="1" ht="26.25" customHeight="1" x14ac:dyDescent="0.4">
      <c r="A60" s="119" t="s">
        <v>111</v>
      </c>
      <c r="B60" s="120">
        <v>2</v>
      </c>
      <c r="C60" s="179" t="s">
        <v>66</v>
      </c>
      <c r="D60" s="180">
        <v>1080.54</v>
      </c>
      <c r="E60" s="181">
        <v>1</v>
      </c>
      <c r="F60" s="182">
        <v>475678</v>
      </c>
      <c r="G60" s="183">
        <f>IF(ISBLANK(F60),"-",(F60/$D$50*$D$47*$B$68)*($B$57/$D$60))</f>
        <v>160.88837233511236</v>
      </c>
      <c r="H60" s="184">
        <f t="shared" ref="H60:H71" si="0">IF(ISBLANK(F60),"-",(G60/$B$56)*100)</f>
        <v>100.55523270944522</v>
      </c>
      <c r="I60" s="102"/>
      <c r="L60" s="4"/>
    </row>
    <row r="61" spans="1:12" s="2" customFormat="1" ht="26.25" customHeight="1" x14ac:dyDescent="0.4">
      <c r="A61" s="119" t="s">
        <v>112</v>
      </c>
      <c r="B61" s="120">
        <v>100</v>
      </c>
      <c r="C61" s="185"/>
      <c r="D61" s="186"/>
      <c r="E61" s="187">
        <v>2</v>
      </c>
      <c r="F61" s="132">
        <v>478877</v>
      </c>
      <c r="G61" s="188">
        <f>IF(ISBLANK(F61),"-",(F61/$D$50*$D$47*$B$68)*($B$57/$D$60))</f>
        <v>161.97036877619232</v>
      </c>
      <c r="H61" s="189">
        <f t="shared" si="0"/>
        <v>101.2314804851202</v>
      </c>
      <c r="I61" s="102"/>
      <c r="L61" s="4"/>
    </row>
    <row r="62" spans="1:12" s="2" customFormat="1" ht="26.25" customHeight="1" x14ac:dyDescent="0.4">
      <c r="A62" s="119" t="s">
        <v>113</v>
      </c>
      <c r="B62" s="120">
        <v>1</v>
      </c>
      <c r="C62" s="185"/>
      <c r="D62" s="186"/>
      <c r="E62" s="187">
        <v>3</v>
      </c>
      <c r="F62" s="190">
        <v>477442</v>
      </c>
      <c r="G62" s="188">
        <f>IF(ISBLANK(F62),"-",(F62/$D$50*$D$47*$B$68)*($B$57/$D$60))</f>
        <v>161.48500932231616</v>
      </c>
      <c r="H62" s="189">
        <f t="shared" si="0"/>
        <v>100.9281308264476</v>
      </c>
      <c r="I62" s="102"/>
      <c r="L62" s="4"/>
    </row>
    <row r="63" spans="1:12" ht="27" customHeight="1" x14ac:dyDescent="0.4">
      <c r="A63" s="119" t="s">
        <v>114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115</v>
      </c>
      <c r="B64" s="120">
        <v>1</v>
      </c>
      <c r="C64" s="179" t="s">
        <v>67</v>
      </c>
      <c r="D64" s="180">
        <v>1072.72</v>
      </c>
      <c r="E64" s="181">
        <v>1</v>
      </c>
      <c r="F64" s="182">
        <v>462788</v>
      </c>
      <c r="G64" s="183">
        <f>IF(ISBLANK(F64),"-",(F64/$D$50*$D$47*$B$68)*($B$57/$D$64))</f>
        <v>157.66966763856706</v>
      </c>
      <c r="H64" s="184">
        <f t="shared" si="0"/>
        <v>98.543542274104411</v>
      </c>
      <c r="I64" s="78"/>
    </row>
    <row r="65" spans="1:9" ht="26.25" customHeight="1" x14ac:dyDescent="0.4">
      <c r="A65" s="119" t="s">
        <v>116</v>
      </c>
      <c r="B65" s="120">
        <v>1</v>
      </c>
      <c r="C65" s="185"/>
      <c r="D65" s="186"/>
      <c r="E65" s="187">
        <v>2</v>
      </c>
      <c r="F65" s="132">
        <v>462258</v>
      </c>
      <c r="G65" s="188">
        <f>IF(ISBLANK(F65),"-",(F65/$D$50*$D$47*$B$68)*($B$57/$D$64))</f>
        <v>157.48909916261599</v>
      </c>
      <c r="H65" s="189">
        <f t="shared" si="0"/>
        <v>98.430686976635002</v>
      </c>
      <c r="I65" s="78"/>
    </row>
    <row r="66" spans="1:9" ht="26.25" customHeight="1" x14ac:dyDescent="0.4">
      <c r="A66" s="119" t="s">
        <v>117</v>
      </c>
      <c r="B66" s="120">
        <v>1</v>
      </c>
      <c r="C66" s="185"/>
      <c r="D66" s="186"/>
      <c r="E66" s="187">
        <v>3</v>
      </c>
      <c r="F66" s="132">
        <v>463120</v>
      </c>
      <c r="G66" s="188">
        <f>IF(ISBLANK(F66),"-",(F66/$D$50*$D$47*$B$68)*($B$57/$D$64))</f>
        <v>157.7827784574647</v>
      </c>
      <c r="H66" s="189">
        <f t="shared" si="0"/>
        <v>98.614236535915438</v>
      </c>
      <c r="I66" s="78"/>
    </row>
    <row r="67" spans="1:9" ht="27" customHeight="1" x14ac:dyDescent="0.4">
      <c r="A67" s="119" t="s">
        <v>118</v>
      </c>
      <c r="B67" s="120">
        <v>1</v>
      </c>
      <c r="C67" s="191"/>
      <c r="D67" s="192"/>
      <c r="E67" s="193">
        <v>4</v>
      </c>
      <c r="F67" s="194"/>
      <c r="G67" s="195" t="str">
        <f>IF(ISBLANK(F67),"-",(F67/$D$50*$D$47*$B$68)*($B$57/$D$64))</f>
        <v>-</v>
      </c>
      <c r="H67" s="196" t="str">
        <f t="shared" si="0"/>
        <v>-</v>
      </c>
      <c r="I67" s="78"/>
    </row>
    <row r="68" spans="1:9" ht="26.25" customHeight="1" x14ac:dyDescent="0.4">
      <c r="A68" s="119" t="s">
        <v>68</v>
      </c>
      <c r="B68" s="197">
        <f>(B67/B66)*(B65/B64)*(B63/B62)*(B61/B60)*B59</f>
        <v>5000</v>
      </c>
      <c r="C68" s="179" t="s">
        <v>69</v>
      </c>
      <c r="D68" s="180">
        <v>1084.99</v>
      </c>
      <c r="E68" s="181">
        <v>1</v>
      </c>
      <c r="F68" s="182">
        <v>479128</v>
      </c>
      <c r="G68" s="183">
        <f>IF(ISBLANK(F68),"-",(F68/$D$50*$D$47*$B$68)*($B$57/$D$68))</f>
        <v>161.39060765246995</v>
      </c>
      <c r="H68" s="189">
        <f t="shared" si="0"/>
        <v>100.86912978279372</v>
      </c>
      <c r="I68" s="78"/>
    </row>
    <row r="69" spans="1:9" ht="27" customHeight="1" x14ac:dyDescent="0.4">
      <c r="A69" s="170" t="s">
        <v>70</v>
      </c>
      <c r="B69" s="198">
        <f>(D47*B68)/B56*B57</f>
        <v>1087.1855</v>
      </c>
      <c r="C69" s="185"/>
      <c r="D69" s="186"/>
      <c r="E69" s="187">
        <v>2</v>
      </c>
      <c r="F69" s="132">
        <v>479605</v>
      </c>
      <c r="G69" s="188">
        <f>IF(ISBLANK(F69),"-",(F69/$D$50*$D$47*$B$68)*($B$57/$D$68))</f>
        <v>161.55128145957417</v>
      </c>
      <c r="H69" s="189">
        <f t="shared" si="0"/>
        <v>100.96955091223386</v>
      </c>
      <c r="I69" s="78"/>
    </row>
    <row r="70" spans="1:9" ht="26.25" customHeight="1" x14ac:dyDescent="0.4">
      <c r="A70" s="199" t="s">
        <v>51</v>
      </c>
      <c r="B70" s="200"/>
      <c r="C70" s="185"/>
      <c r="D70" s="186"/>
      <c r="E70" s="187">
        <v>3</v>
      </c>
      <c r="F70" s="132">
        <v>479824</v>
      </c>
      <c r="G70" s="188">
        <f>IF(ISBLANK(F70),"-",(F70/$D$50*$D$47*$B$68)*($B$57/$D$68))</f>
        <v>161.62504993704968</v>
      </c>
      <c r="H70" s="189">
        <f t="shared" si="0"/>
        <v>101.01565621065605</v>
      </c>
      <c r="I70" s="78"/>
    </row>
    <row r="71" spans="1:9" ht="27" customHeight="1" x14ac:dyDescent="0.4">
      <c r="A71" s="201"/>
      <c r="B71" s="202"/>
      <c r="C71" s="203"/>
      <c r="D71" s="192"/>
      <c r="E71" s="193">
        <v>4</v>
      </c>
      <c r="F71" s="194"/>
      <c r="G71" s="195" t="str">
        <f>IF(ISBLANK(F71),"-",(F71/$D$50*$D$47*$B$68)*($B$57/$D$68))</f>
        <v>-</v>
      </c>
      <c r="H71" s="196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4" t="s">
        <v>46</v>
      </c>
      <c r="G72" s="205">
        <f>AVERAGE(G60:G71)</f>
        <v>160.20580386015135</v>
      </c>
      <c r="H72" s="206">
        <f>AVERAGE(H60:H71)</f>
        <v>100.12862741259462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7" t="s">
        <v>57</v>
      </c>
      <c r="G73" s="208">
        <f>STDEV(G60:G71)/G72</f>
        <v>1.2113245872510106E-2</v>
      </c>
      <c r="H73" s="208">
        <f>STDEV(H60:H71)/H72</f>
        <v>1.2113245872510087E-2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09" t="s">
        <v>6</v>
      </c>
      <c r="G74" s="210">
        <f>COUNT(G60:G71)</f>
        <v>9</v>
      </c>
      <c r="H74" s="210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1" t="str">
        <f>B26</f>
        <v>Trimethoprim</v>
      </c>
      <c r="D76" s="211"/>
      <c r="E76" s="77" t="s">
        <v>73</v>
      </c>
      <c r="F76" s="77"/>
      <c r="G76" s="212">
        <f>H72</f>
        <v>100.12862741259462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3" t="str">
        <f>B26</f>
        <v>Trimethoprim</v>
      </c>
      <c r="C79" s="213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3" t="str">
        <f>B27</f>
        <v>T7 4</v>
      </c>
      <c r="C80" s="213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99.3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0.35</v>
      </c>
      <c r="C82" s="99" t="s">
        <v>31</v>
      </c>
      <c r="D82" s="100"/>
      <c r="E82" s="100"/>
      <c r="F82" s="100"/>
      <c r="G82" s="101"/>
      <c r="H82" s="102"/>
      <c r="I82" s="103"/>
      <c r="J82" s="4"/>
      <c r="K82" s="4"/>
      <c r="L82" s="4"/>
    </row>
    <row r="83" spans="1:12" s="2" customFormat="1" ht="19.5" customHeight="1" x14ac:dyDescent="0.3">
      <c r="A83" s="95" t="s">
        <v>32</v>
      </c>
      <c r="B83" s="104">
        <f>B81-B82</f>
        <v>98.95</v>
      </c>
      <c r="C83" s="105"/>
      <c r="D83" s="105"/>
      <c r="E83" s="105"/>
      <c r="F83" s="105"/>
      <c r="G83" s="106"/>
      <c r="H83" s="102"/>
      <c r="I83" s="103"/>
      <c r="J83" s="4"/>
      <c r="K83" s="4"/>
      <c r="L83" s="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4"/>
      <c r="K84" s="4"/>
      <c r="L84" s="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4"/>
      <c r="K85" s="4"/>
      <c r="L85" s="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4"/>
      <c r="K86" s="4"/>
      <c r="L86" s="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4"/>
      <c r="K87" s="4"/>
      <c r="L87" s="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20</v>
      </c>
      <c r="C89" s="78"/>
      <c r="D89" s="214" t="s">
        <v>40</v>
      </c>
      <c r="E89" s="215"/>
      <c r="F89" s="116" t="s">
        <v>41</v>
      </c>
      <c r="G89" s="118"/>
      <c r="H89" s="78"/>
      <c r="I89" s="78"/>
    </row>
    <row r="90" spans="1:12" ht="27" customHeight="1" x14ac:dyDescent="0.4">
      <c r="A90" s="119" t="s">
        <v>103</v>
      </c>
      <c r="B90" s="120">
        <v>4</v>
      </c>
      <c r="C90" s="216" t="s">
        <v>42</v>
      </c>
      <c r="D90" s="122" t="s">
        <v>43</v>
      </c>
      <c r="E90" s="123" t="s">
        <v>44</v>
      </c>
      <c r="F90" s="122" t="s">
        <v>43</v>
      </c>
      <c r="G90" s="217" t="s">
        <v>44</v>
      </c>
      <c r="H90" s="78"/>
      <c r="I90" s="125" t="s">
        <v>45</v>
      </c>
    </row>
    <row r="91" spans="1:12" ht="26.25" customHeight="1" x14ac:dyDescent="0.4">
      <c r="A91" s="119" t="s">
        <v>104</v>
      </c>
      <c r="B91" s="120">
        <v>100</v>
      </c>
      <c r="C91" s="218">
        <v>1</v>
      </c>
      <c r="D91" s="127">
        <v>463592</v>
      </c>
      <c r="E91" s="128">
        <f>IF(ISBLANK(D91),"-",$D$101/$D$98*D91)</f>
        <v>536668.23525598401</v>
      </c>
      <c r="F91" s="127">
        <v>493449</v>
      </c>
      <c r="G91" s="129">
        <f>IF(ISBLANK(F91),"-",$D$101/$F$98*F91)</f>
        <v>522115.11010883225</v>
      </c>
      <c r="H91" s="78"/>
      <c r="I91" s="130"/>
    </row>
    <row r="92" spans="1:12" ht="26.25" customHeight="1" x14ac:dyDescent="0.4">
      <c r="A92" s="119" t="s">
        <v>105</v>
      </c>
      <c r="B92" s="120">
        <v>1</v>
      </c>
      <c r="C92" s="150">
        <v>2</v>
      </c>
      <c r="D92" s="132">
        <v>461226</v>
      </c>
      <c r="E92" s="133">
        <f>IF(ISBLANK(D92),"-",$D$101/$D$98*D92)</f>
        <v>533929.28151084681</v>
      </c>
      <c r="F92" s="132">
        <v>494400</v>
      </c>
      <c r="G92" s="134">
        <f>IF(ISBLANK(F92),"-",$D$101/$F$98*F92)</f>
        <v>523121.35689363373</v>
      </c>
      <c r="H92" s="78"/>
      <c r="I92" s="135">
        <f>ABS((F96/D96*D95)-F95)/D95</f>
        <v>2.5681311034455988E-2</v>
      </c>
    </row>
    <row r="93" spans="1:12" ht="26.25" customHeight="1" x14ac:dyDescent="0.4">
      <c r="A93" s="119" t="s">
        <v>106</v>
      </c>
      <c r="B93" s="120">
        <v>1</v>
      </c>
      <c r="C93" s="150">
        <v>3</v>
      </c>
      <c r="D93" s="132">
        <v>461961</v>
      </c>
      <c r="E93" s="133">
        <f>IF(ISBLANK(D93),"-",$D$101/$D$98*D93)</f>
        <v>534780.13992279768</v>
      </c>
      <c r="F93" s="132">
        <v>493773</v>
      </c>
      <c r="G93" s="134">
        <f>IF(ISBLANK(F93),"-",$D$101/$F$98*F93)</f>
        <v>522457.93235728197</v>
      </c>
      <c r="H93" s="78"/>
      <c r="I93" s="135"/>
    </row>
    <row r="94" spans="1:12" ht="27" customHeight="1" x14ac:dyDescent="0.4">
      <c r="A94" s="119" t="s">
        <v>107</v>
      </c>
      <c r="B94" s="120">
        <v>1</v>
      </c>
      <c r="C94" s="219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108</v>
      </c>
      <c r="B95" s="120">
        <v>1</v>
      </c>
      <c r="C95" s="95" t="s">
        <v>46</v>
      </c>
      <c r="D95" s="220">
        <f>AVERAGE(D91:D94)</f>
        <v>462259.66666666669</v>
      </c>
      <c r="E95" s="143">
        <f>AVERAGE(E91:E94)</f>
        <v>535125.88556320954</v>
      </c>
      <c r="F95" s="221">
        <f>AVERAGE(F91:F94)</f>
        <v>493874</v>
      </c>
      <c r="G95" s="222">
        <f>AVERAGE(G91:G94)</f>
        <v>522564.79978658265</v>
      </c>
      <c r="H95" s="78"/>
      <c r="I95" s="78"/>
    </row>
    <row r="96" spans="1:12" ht="26.25" customHeight="1" x14ac:dyDescent="0.4">
      <c r="A96" s="119" t="s">
        <v>109</v>
      </c>
      <c r="B96" s="97">
        <v>1</v>
      </c>
      <c r="C96" s="223" t="s">
        <v>78</v>
      </c>
      <c r="D96" s="224">
        <f>D43</f>
        <v>15.52</v>
      </c>
      <c r="E96" s="77"/>
      <c r="F96" s="147">
        <f>F43</f>
        <v>16.98</v>
      </c>
      <c r="G96" s="78"/>
      <c r="H96" s="78"/>
      <c r="I96" s="78"/>
    </row>
    <row r="97" spans="1:10" ht="26.25" customHeight="1" x14ac:dyDescent="0.4">
      <c r="A97" s="119" t="s">
        <v>110</v>
      </c>
      <c r="B97" s="97">
        <v>1</v>
      </c>
      <c r="C97" s="225" t="s">
        <v>79</v>
      </c>
      <c r="D97" s="226">
        <f>D96*$B$87</f>
        <v>15.52</v>
      </c>
      <c r="E97" s="150"/>
      <c r="F97" s="149">
        <f>F96*$B$87</f>
        <v>16.98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500</v>
      </c>
      <c r="C98" s="225" t="s">
        <v>80</v>
      </c>
      <c r="D98" s="227">
        <f>D97*$B$83/100</f>
        <v>15.35704</v>
      </c>
      <c r="E98" s="152"/>
      <c r="F98" s="151">
        <f>F97*$B$83/100</f>
        <v>16.80171</v>
      </c>
      <c r="G98" s="78"/>
      <c r="H98" s="78"/>
      <c r="I98" s="78"/>
    </row>
    <row r="99" spans="1:10" ht="19.5" customHeight="1" x14ac:dyDescent="0.3">
      <c r="A99" s="153" t="s">
        <v>51</v>
      </c>
      <c r="B99" s="228"/>
      <c r="C99" s="225" t="s">
        <v>81</v>
      </c>
      <c r="D99" s="229">
        <f>D98/$B$98</f>
        <v>3.0714079999999998E-2</v>
      </c>
      <c r="E99" s="152"/>
      <c r="F99" s="157">
        <f>F98/$B$98</f>
        <v>3.3603420000000002E-2</v>
      </c>
      <c r="G99" s="78"/>
      <c r="H99" s="145"/>
      <c r="I99" s="78"/>
    </row>
    <row r="100" spans="1:10" ht="19.5" customHeight="1" x14ac:dyDescent="0.3">
      <c r="A100" s="158"/>
      <c r="B100" s="230"/>
      <c r="C100" s="225" t="s">
        <v>53</v>
      </c>
      <c r="D100" s="231">
        <f>$B$56/$B$116</f>
        <v>3.5555555555555556E-2</v>
      </c>
      <c r="E100" s="78"/>
      <c r="F100" s="164"/>
      <c r="G100" s="232"/>
      <c r="H100" s="145"/>
      <c r="I100" s="78"/>
    </row>
    <row r="101" spans="1:10" ht="18.75" x14ac:dyDescent="0.3">
      <c r="A101" s="78"/>
      <c r="B101" s="78"/>
      <c r="C101" s="225" t="s">
        <v>54</v>
      </c>
      <c r="D101" s="226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3" t="s">
        <v>55</v>
      </c>
      <c r="D102" s="234">
        <f>D101/B34</f>
        <v>17.777777777777779</v>
      </c>
      <c r="E102" s="78"/>
      <c r="F102" s="168"/>
      <c r="G102" s="78"/>
      <c r="H102" s="145"/>
      <c r="I102" s="78"/>
      <c r="J102" s="11"/>
    </row>
    <row r="103" spans="1:10" ht="18.75" x14ac:dyDescent="0.3">
      <c r="A103" s="78"/>
      <c r="B103" s="78"/>
      <c r="C103" s="235" t="s">
        <v>82</v>
      </c>
      <c r="D103" s="236">
        <f>AVERAGE(E91:E94,G91:G94)</f>
        <v>528845.342674896</v>
      </c>
      <c r="E103" s="78"/>
      <c r="F103" s="168"/>
      <c r="G103" s="232"/>
      <c r="H103" s="145"/>
      <c r="I103" s="78"/>
      <c r="J103" s="12"/>
    </row>
    <row r="104" spans="1:10" ht="18.75" x14ac:dyDescent="0.3">
      <c r="A104" s="78"/>
      <c r="B104" s="78"/>
      <c r="C104" s="207" t="s">
        <v>57</v>
      </c>
      <c r="D104" s="237">
        <f>STDEV(E91:E94,G91:G94)/D103</f>
        <v>1.3131290026618841E-2</v>
      </c>
      <c r="E104" s="78"/>
      <c r="F104" s="168"/>
      <c r="G104" s="78"/>
      <c r="H104" s="145"/>
      <c r="I104" s="78"/>
      <c r="J104" s="12"/>
    </row>
    <row r="105" spans="1:10" ht="19.5" customHeight="1" x14ac:dyDescent="0.3">
      <c r="A105" s="78"/>
      <c r="B105" s="78"/>
      <c r="C105" s="209" t="s">
        <v>6</v>
      </c>
      <c r="D105" s="238">
        <f>COUNT(E91:E94,G91:G94)</f>
        <v>6</v>
      </c>
      <c r="E105" s="78"/>
      <c r="F105" s="168"/>
      <c r="G105" s="78"/>
      <c r="H105" s="145"/>
      <c r="I105" s="78"/>
      <c r="J105" s="1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39" t="s">
        <v>86</v>
      </c>
      <c r="G107" s="78"/>
      <c r="H107" s="78"/>
      <c r="I107" s="78"/>
    </row>
    <row r="108" spans="1:10" ht="26.25" customHeight="1" x14ac:dyDescent="0.4">
      <c r="A108" s="119" t="s">
        <v>119</v>
      </c>
      <c r="B108" s="120">
        <v>5</v>
      </c>
      <c r="C108" s="181">
        <v>1</v>
      </c>
      <c r="D108" s="240">
        <v>529013</v>
      </c>
      <c r="E108" s="241">
        <f t="shared" ref="E108:E113" si="1">IF(ISBLANK(D108),"-",D108/$D$103*$D$100*$B$116)</f>
        <v>160.05072403943458</v>
      </c>
      <c r="F108" s="242">
        <f t="shared" ref="F108:F113" si="2">IF(ISBLANK(D108), "-", (E108/$B$56)*100)</f>
        <v>100.03170252464662</v>
      </c>
      <c r="G108" s="78"/>
      <c r="H108" s="78"/>
      <c r="I108" s="78"/>
    </row>
    <row r="109" spans="1:10" ht="26.25" customHeight="1" x14ac:dyDescent="0.4">
      <c r="A109" s="119" t="s">
        <v>112</v>
      </c>
      <c r="B109" s="120">
        <v>25</v>
      </c>
      <c r="C109" s="187">
        <v>2</v>
      </c>
      <c r="D109" s="243">
        <v>527981</v>
      </c>
      <c r="E109" s="244">
        <f t="shared" si="1"/>
        <v>159.73849665143334</v>
      </c>
      <c r="F109" s="245">
        <f t="shared" si="2"/>
        <v>99.836560407145839</v>
      </c>
      <c r="G109" s="78"/>
      <c r="H109" s="78"/>
      <c r="I109" s="78"/>
    </row>
    <row r="110" spans="1:10" ht="26.25" customHeight="1" x14ac:dyDescent="0.4">
      <c r="A110" s="119" t="s">
        <v>113</v>
      </c>
      <c r="B110" s="120">
        <v>1</v>
      </c>
      <c r="C110" s="187">
        <v>3</v>
      </c>
      <c r="D110" s="243">
        <v>528695</v>
      </c>
      <c r="E110" s="244">
        <f t="shared" si="1"/>
        <v>159.95451443731793</v>
      </c>
      <c r="F110" s="245">
        <f t="shared" si="2"/>
        <v>99.971571523323703</v>
      </c>
      <c r="G110" s="78"/>
      <c r="H110" s="78"/>
      <c r="I110" s="78"/>
    </row>
    <row r="111" spans="1:10" ht="26.25" customHeight="1" x14ac:dyDescent="0.4">
      <c r="A111" s="119" t="s">
        <v>114</v>
      </c>
      <c r="B111" s="120">
        <v>1</v>
      </c>
      <c r="C111" s="187">
        <v>4</v>
      </c>
      <c r="D111" s="243">
        <v>528980</v>
      </c>
      <c r="E111" s="244">
        <f t="shared" si="1"/>
        <v>160.04074002412062</v>
      </c>
      <c r="F111" s="245">
        <f t="shared" si="2"/>
        <v>100.02546251507538</v>
      </c>
      <c r="G111" s="78"/>
      <c r="H111" s="78"/>
      <c r="I111" s="78"/>
    </row>
    <row r="112" spans="1:10" ht="26.25" customHeight="1" x14ac:dyDescent="0.4">
      <c r="A112" s="119" t="s">
        <v>115</v>
      </c>
      <c r="B112" s="120">
        <v>1</v>
      </c>
      <c r="C112" s="187">
        <v>5</v>
      </c>
      <c r="D112" s="243">
        <v>525612</v>
      </c>
      <c r="E112" s="244">
        <f t="shared" si="1"/>
        <v>159.02176537025611</v>
      </c>
      <c r="F112" s="245">
        <f t="shared" si="2"/>
        <v>99.388603356410073</v>
      </c>
      <c r="G112" s="78"/>
      <c r="H112" s="78"/>
      <c r="I112" s="78"/>
    </row>
    <row r="113" spans="1:10" ht="27" customHeight="1" x14ac:dyDescent="0.4">
      <c r="A113" s="119" t="s">
        <v>116</v>
      </c>
      <c r="B113" s="120">
        <v>1</v>
      </c>
      <c r="C113" s="193">
        <v>6</v>
      </c>
      <c r="D113" s="246">
        <v>527497</v>
      </c>
      <c r="E113" s="247">
        <f t="shared" si="1"/>
        <v>159.59206442682813</v>
      </c>
      <c r="F113" s="248">
        <f t="shared" si="2"/>
        <v>99.745040266767575</v>
      </c>
      <c r="G113" s="78"/>
      <c r="H113" s="78"/>
      <c r="I113" s="78"/>
    </row>
    <row r="114" spans="1:10" ht="27" customHeight="1" x14ac:dyDescent="0.4">
      <c r="A114" s="119" t="s">
        <v>117</v>
      </c>
      <c r="B114" s="120">
        <v>1</v>
      </c>
      <c r="C114" s="249"/>
      <c r="D114" s="150"/>
      <c r="E114" s="77"/>
      <c r="F114" s="245"/>
      <c r="G114" s="78"/>
      <c r="H114" s="78"/>
      <c r="I114" s="78"/>
    </row>
    <row r="115" spans="1:10" ht="26.25" customHeight="1" x14ac:dyDescent="0.4">
      <c r="A115" s="119" t="s">
        <v>118</v>
      </c>
      <c r="B115" s="120">
        <v>1</v>
      </c>
      <c r="C115" s="249"/>
      <c r="D115" s="250" t="s">
        <v>46</v>
      </c>
      <c r="E115" s="251">
        <f>AVERAGE(E108:E113)</f>
        <v>159.73305082489844</v>
      </c>
      <c r="F115" s="252">
        <f>AVERAGE(F108:F113)</f>
        <v>99.833156765561526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3"/>
      <c r="D116" s="254" t="s">
        <v>57</v>
      </c>
      <c r="E116" s="208">
        <f>STDEV(E108:E113)/E115</f>
        <v>2.4575239452525803E-3</v>
      </c>
      <c r="F116" s="255">
        <f>STDEV(F108:F113)/F115</f>
        <v>2.4575239452525434E-3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6"/>
      <c r="D117" s="209" t="s">
        <v>6</v>
      </c>
      <c r="E117" s="257">
        <f>COUNT(E108:E113)</f>
        <v>6</v>
      </c>
      <c r="F117" s="258">
        <f>COUNT(F108:F113)</f>
        <v>6</v>
      </c>
      <c r="G117" s="78"/>
      <c r="H117" s="78"/>
      <c r="I117" s="77"/>
      <c r="J117" s="12"/>
    </row>
    <row r="118" spans="1:10" ht="26.25" customHeight="1" x14ac:dyDescent="0.3">
      <c r="A118" s="158"/>
      <c r="B118" s="159"/>
      <c r="C118" s="77"/>
      <c r="D118" s="259"/>
      <c r="E118" s="260" t="s">
        <v>87</v>
      </c>
      <c r="F118" s="261"/>
      <c r="G118" s="77"/>
      <c r="H118" s="77"/>
      <c r="I118" s="77"/>
    </row>
    <row r="119" spans="1:10" ht="25.5" customHeight="1" x14ac:dyDescent="0.4">
      <c r="A119" s="262"/>
      <c r="B119" s="112"/>
      <c r="C119" s="77"/>
      <c r="D119" s="254" t="s">
        <v>88</v>
      </c>
      <c r="E119" s="263">
        <f>MIN(E108:E113)</f>
        <v>159.02176537025611</v>
      </c>
      <c r="F119" s="264">
        <f>MIN(F108:F113)</f>
        <v>99.388603356410073</v>
      </c>
      <c r="G119" s="77"/>
      <c r="H119" s="77"/>
      <c r="I119" s="77"/>
    </row>
    <row r="120" spans="1:10" ht="24" customHeight="1" x14ac:dyDescent="0.4">
      <c r="A120" s="262"/>
      <c r="B120" s="112"/>
      <c r="C120" s="77"/>
      <c r="D120" s="165" t="s">
        <v>89</v>
      </c>
      <c r="E120" s="265">
        <f>MAX(E108:E113)</f>
        <v>160.05072403943458</v>
      </c>
      <c r="F120" s="266">
        <f>MAX(F108:F113)</f>
        <v>100.03170252464662</v>
      </c>
      <c r="G120" s="77"/>
      <c r="H120" s="77"/>
      <c r="I120" s="77"/>
    </row>
    <row r="121" spans="1:10" ht="27" customHeight="1" x14ac:dyDescent="0.3">
      <c r="A121" s="262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2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2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1" t="str">
        <f>B26</f>
        <v>Trimethoprim</v>
      </c>
      <c r="D124" s="211"/>
      <c r="E124" s="77" t="s">
        <v>91</v>
      </c>
      <c r="F124" s="77"/>
      <c r="G124" s="267">
        <f>F115</f>
        <v>99.833156765561526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67">
        <f>MIN(F108:F113)</f>
        <v>99.388603356410073</v>
      </c>
      <c r="E125" s="95" t="s">
        <v>94</v>
      </c>
      <c r="F125" s="267">
        <f>MAX(F108:F113)</f>
        <v>100.03170252464662</v>
      </c>
      <c r="G125" s="212"/>
      <c r="H125" s="77"/>
      <c r="I125" s="77"/>
    </row>
    <row r="126" spans="1:10" ht="19.5" customHeight="1" x14ac:dyDescent="0.3">
      <c r="A126" s="268"/>
      <c r="B126" s="268"/>
      <c r="C126" s="269"/>
      <c r="D126" s="269"/>
      <c r="E126" s="269"/>
      <c r="F126" s="269"/>
      <c r="G126" s="269"/>
      <c r="H126" s="269"/>
      <c r="I126" s="78"/>
    </row>
    <row r="127" spans="1:10" ht="18.75" x14ac:dyDescent="0.3">
      <c r="A127" s="78"/>
      <c r="B127" s="270" t="s">
        <v>7</v>
      </c>
      <c r="C127" s="270"/>
      <c r="D127" s="78"/>
      <c r="E127" s="216" t="s">
        <v>8</v>
      </c>
      <c r="F127" s="271"/>
      <c r="G127" s="270" t="s">
        <v>9</v>
      </c>
      <c r="H127" s="270"/>
      <c r="I127" s="78"/>
    </row>
    <row r="128" spans="1:10" ht="69.95" customHeight="1" x14ac:dyDescent="0.3">
      <c r="A128" s="94" t="s">
        <v>10</v>
      </c>
      <c r="B128" s="272"/>
      <c r="C128" s="272"/>
      <c r="D128" s="78"/>
      <c r="E128" s="272"/>
      <c r="F128" s="77"/>
      <c r="G128" s="272"/>
      <c r="H128" s="272"/>
      <c r="I128" s="78"/>
    </row>
    <row r="129" spans="1:9" ht="69.95" customHeight="1" x14ac:dyDescent="0.3">
      <c r="A129" s="94" t="s">
        <v>11</v>
      </c>
      <c r="B129" s="273"/>
      <c r="C129" s="273"/>
      <c r="D129" s="78"/>
      <c r="E129" s="273"/>
      <c r="F129" s="77"/>
      <c r="G129" s="274"/>
      <c r="H129" s="274"/>
      <c r="I129" s="78"/>
    </row>
    <row r="130" spans="1:9" ht="18.75" x14ac:dyDescent="0.3">
      <c r="A130" s="150"/>
      <c r="B130" s="150"/>
      <c r="C130" s="150"/>
      <c r="D130" s="150"/>
      <c r="E130" s="150"/>
      <c r="F130" s="152"/>
      <c r="G130" s="150"/>
      <c r="H130" s="150"/>
      <c r="I130" s="77"/>
    </row>
    <row r="131" spans="1:9" ht="18.75" x14ac:dyDescent="0.3">
      <c r="A131" s="8"/>
      <c r="B131" s="8"/>
      <c r="C131" s="9"/>
      <c r="D131" s="9"/>
      <c r="E131" s="9"/>
      <c r="F131" s="10"/>
      <c r="G131" s="9"/>
      <c r="H131" s="9"/>
      <c r="I131" s="3"/>
    </row>
    <row r="132" spans="1:9" ht="18.75" x14ac:dyDescent="0.3">
      <c r="A132" s="8"/>
      <c r="B132" s="8"/>
      <c r="C132" s="9"/>
      <c r="D132" s="9"/>
      <c r="E132" s="9"/>
      <c r="F132" s="10"/>
      <c r="G132" s="9"/>
      <c r="H132" s="9"/>
      <c r="I132" s="3"/>
    </row>
    <row r="133" spans="1:9" ht="18.75" x14ac:dyDescent="0.3">
      <c r="A133" s="8"/>
      <c r="B133" s="8"/>
      <c r="C133" s="9"/>
      <c r="D133" s="9"/>
      <c r="E133" s="9"/>
      <c r="F133" s="10"/>
      <c r="G133" s="9"/>
      <c r="H133" s="9"/>
      <c r="I133" s="3"/>
    </row>
    <row r="134" spans="1:9" ht="18.75" x14ac:dyDescent="0.3">
      <c r="A134" s="8"/>
      <c r="B134" s="8"/>
      <c r="C134" s="9"/>
      <c r="D134" s="9"/>
      <c r="E134" s="9"/>
      <c r="F134" s="10"/>
      <c r="G134" s="9"/>
      <c r="H134" s="9"/>
      <c r="I134" s="3"/>
    </row>
    <row r="135" spans="1:9" ht="18.75" x14ac:dyDescent="0.3">
      <c r="A135" s="8"/>
      <c r="B135" s="8"/>
      <c r="C135" s="9"/>
      <c r="D135" s="9"/>
      <c r="E135" s="9"/>
      <c r="F135" s="10"/>
      <c r="G135" s="9"/>
      <c r="H135" s="9"/>
      <c r="I135" s="3"/>
    </row>
    <row r="136" spans="1:9" ht="18.75" x14ac:dyDescent="0.3">
      <c r="A136" s="8"/>
      <c r="B136" s="8"/>
      <c r="C136" s="9"/>
      <c r="D136" s="9"/>
      <c r="E136" s="9"/>
      <c r="F136" s="10"/>
      <c r="G136" s="9"/>
      <c r="H136" s="9"/>
      <c r="I136" s="3"/>
    </row>
    <row r="137" spans="1:9" ht="18.75" x14ac:dyDescent="0.3">
      <c r="A137" s="8"/>
      <c r="B137" s="8"/>
      <c r="C137" s="9"/>
      <c r="D137" s="9"/>
      <c r="E137" s="9"/>
      <c r="F137" s="10"/>
      <c r="G137" s="9"/>
      <c r="H137" s="9"/>
      <c r="I137" s="3"/>
    </row>
    <row r="138" spans="1:9" ht="18.75" x14ac:dyDescent="0.3">
      <c r="A138" s="8"/>
      <c r="B138" s="8"/>
      <c r="C138" s="9"/>
      <c r="D138" s="9"/>
      <c r="E138" s="9"/>
      <c r="F138" s="10"/>
      <c r="G138" s="9"/>
      <c r="H138" s="9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5" zoomScaleNormal="40" zoomScalePageLayoutView="55" workbookViewId="0">
      <selection activeCell="F66" sqref="F66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tr">
        <f>trimethoprim!B19</f>
        <v>NDQB201701329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4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5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98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4">
      <c r="A27" s="95" t="s">
        <v>29</v>
      </c>
      <c r="B27" s="96" t="s">
        <v>97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99.28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0.26</v>
      </c>
      <c r="C29" s="99" t="s">
        <v>31</v>
      </c>
      <c r="D29" s="100"/>
      <c r="E29" s="100"/>
      <c r="F29" s="100"/>
      <c r="G29" s="101"/>
      <c r="H29" s="102"/>
      <c r="I29" s="103"/>
      <c r="J29" s="14"/>
      <c r="K29" s="14"/>
      <c r="L29" s="14"/>
    </row>
    <row r="30" spans="1:14" s="2" customFormat="1" ht="19.5" customHeight="1" x14ac:dyDescent="0.3">
      <c r="A30" s="95" t="s">
        <v>32</v>
      </c>
      <c r="B30" s="104">
        <f>B28-B29</f>
        <v>99.02</v>
      </c>
      <c r="C30" s="105"/>
      <c r="D30" s="105"/>
      <c r="E30" s="105"/>
      <c r="F30" s="105"/>
      <c r="G30" s="106"/>
      <c r="H30" s="102"/>
      <c r="I30" s="103"/>
      <c r="J30" s="14"/>
      <c r="K30" s="14"/>
      <c r="L30" s="1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14"/>
      <c r="K31" s="14"/>
      <c r="L31" s="1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14"/>
      <c r="K32" s="14"/>
      <c r="L32" s="15"/>
      <c r="M32" s="15"/>
      <c r="N32" s="1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14"/>
      <c r="K33" s="14"/>
      <c r="L33" s="15"/>
      <c r="M33" s="15"/>
      <c r="N33" s="1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14"/>
      <c r="K34" s="14"/>
      <c r="L34" s="15"/>
      <c r="M34" s="15"/>
      <c r="N34" s="1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14"/>
      <c r="K35" s="14"/>
      <c r="L35" s="15"/>
      <c r="M35" s="15"/>
      <c r="N35" s="16"/>
    </row>
    <row r="36" spans="1:14" s="2" customFormat="1" ht="27" customHeight="1" x14ac:dyDescent="0.4">
      <c r="A36" s="114" t="s">
        <v>39</v>
      </c>
      <c r="B36" s="115">
        <v>100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14"/>
      <c r="K36" s="14"/>
      <c r="L36" s="15"/>
      <c r="M36" s="15"/>
      <c r="N36" s="16"/>
    </row>
    <row r="37" spans="1:14" s="2" customFormat="1" ht="27" customHeight="1" x14ac:dyDescent="0.4">
      <c r="A37" s="119" t="s">
        <v>103</v>
      </c>
      <c r="B37" s="120">
        <v>1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14"/>
      <c r="K37" s="14"/>
      <c r="L37" s="15"/>
      <c r="M37" s="15"/>
      <c r="N37" s="16"/>
    </row>
    <row r="38" spans="1:14" s="2" customFormat="1" ht="26.25" customHeight="1" x14ac:dyDescent="0.4">
      <c r="A38" s="119" t="s">
        <v>104</v>
      </c>
      <c r="B38" s="120">
        <v>1</v>
      </c>
      <c r="C38" s="126">
        <v>1</v>
      </c>
      <c r="D38" s="127">
        <v>5233427</v>
      </c>
      <c r="E38" s="128">
        <f>IF(ISBLANK(D38),"-",$D$48/$D$45*D38)</f>
        <v>5872469.0859310133</v>
      </c>
      <c r="F38" s="127">
        <v>6892109</v>
      </c>
      <c r="G38" s="129">
        <f>IF(ISBLANK(F38),"-",$D$48/$F$45*F38)</f>
        <v>5952171.1489864169</v>
      </c>
      <c r="H38" s="102"/>
      <c r="I38" s="130"/>
      <c r="J38" s="14"/>
      <c r="K38" s="14"/>
      <c r="L38" s="15"/>
      <c r="M38" s="15"/>
      <c r="N38" s="16"/>
    </row>
    <row r="39" spans="1:14" s="2" customFormat="1" ht="26.25" customHeight="1" x14ac:dyDescent="0.4">
      <c r="A39" s="119" t="s">
        <v>105</v>
      </c>
      <c r="B39" s="120">
        <v>1</v>
      </c>
      <c r="C39" s="131">
        <v>2</v>
      </c>
      <c r="D39" s="132">
        <v>5231083</v>
      </c>
      <c r="E39" s="133">
        <f>IF(ISBLANK(D39),"-",$D$48/$D$45*D39)</f>
        <v>5869838.8653246267</v>
      </c>
      <c r="F39" s="132">
        <v>6894967</v>
      </c>
      <c r="G39" s="134">
        <f>IF(ISBLANK(F39),"-",$D$48/$F$45*F39)</f>
        <v>5954639.3782532206</v>
      </c>
      <c r="H39" s="102"/>
      <c r="I39" s="135">
        <f>ABS((F43/D43*D42)-F42)/D42</f>
        <v>1.7041931457489754E-2</v>
      </c>
      <c r="J39" s="14"/>
      <c r="K39" s="14"/>
      <c r="L39" s="15"/>
      <c r="M39" s="15"/>
      <c r="N39" s="16"/>
    </row>
    <row r="40" spans="1:14" ht="26.25" customHeight="1" x14ac:dyDescent="0.4">
      <c r="A40" s="119" t="s">
        <v>106</v>
      </c>
      <c r="B40" s="120">
        <v>1</v>
      </c>
      <c r="C40" s="131">
        <v>3</v>
      </c>
      <c r="D40" s="132">
        <v>5239133</v>
      </c>
      <c r="E40" s="133">
        <f>IF(ISBLANK(D40),"-",$D$48/$D$45*D40)</f>
        <v>5878871.8328508278</v>
      </c>
      <c r="F40" s="132">
        <v>6884375</v>
      </c>
      <c r="G40" s="134">
        <f>IF(ISBLANK(F40),"-",$D$48/$F$45*F40)</f>
        <v>5945491.9029579135</v>
      </c>
      <c r="H40" s="78"/>
      <c r="I40" s="135"/>
      <c r="L40" s="15"/>
      <c r="M40" s="15"/>
      <c r="N40" s="17"/>
    </row>
    <row r="41" spans="1:14" ht="27" customHeight="1" x14ac:dyDescent="0.4">
      <c r="A41" s="119" t="s">
        <v>107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15"/>
      <c r="M41" s="15"/>
      <c r="N41" s="17"/>
    </row>
    <row r="42" spans="1:14" ht="27" customHeight="1" x14ac:dyDescent="0.4">
      <c r="A42" s="119" t="s">
        <v>108</v>
      </c>
      <c r="B42" s="120">
        <v>1</v>
      </c>
      <c r="C42" s="141" t="s">
        <v>46</v>
      </c>
      <c r="D42" s="142">
        <f>AVERAGE(D38:D41)</f>
        <v>5234547.666666667</v>
      </c>
      <c r="E42" s="143">
        <f>AVERAGE(E38:E41)</f>
        <v>5873726.5947021553</v>
      </c>
      <c r="F42" s="142">
        <f>AVERAGE(F38:F41)</f>
        <v>6890483.666666667</v>
      </c>
      <c r="G42" s="144">
        <f>AVERAGE(G38:G41)</f>
        <v>5950767.4767325176</v>
      </c>
      <c r="H42" s="145"/>
      <c r="I42" s="78"/>
    </row>
    <row r="43" spans="1:14" ht="26.25" customHeight="1" x14ac:dyDescent="0.4">
      <c r="A43" s="119" t="s">
        <v>109</v>
      </c>
      <c r="B43" s="120">
        <v>1</v>
      </c>
      <c r="C43" s="146" t="s">
        <v>47</v>
      </c>
      <c r="D43" s="147">
        <v>14.4</v>
      </c>
      <c r="E43" s="77"/>
      <c r="F43" s="147">
        <v>18.71</v>
      </c>
      <c r="G43" s="78"/>
      <c r="H43" s="145"/>
      <c r="I43" s="78"/>
    </row>
    <row r="44" spans="1:14" ht="26.25" customHeight="1" x14ac:dyDescent="0.4">
      <c r="A44" s="119" t="s">
        <v>110</v>
      </c>
      <c r="B44" s="120">
        <v>1</v>
      </c>
      <c r="C44" s="148" t="s">
        <v>48</v>
      </c>
      <c r="D44" s="149">
        <f>D43*$B$34</f>
        <v>14.4</v>
      </c>
      <c r="E44" s="150"/>
      <c r="F44" s="149">
        <f>F43*$B$34</f>
        <v>18.71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100</v>
      </c>
      <c r="C45" s="148" t="s">
        <v>50</v>
      </c>
      <c r="D45" s="151">
        <f>D44*$B$30/100</f>
        <v>14.25888</v>
      </c>
      <c r="E45" s="152"/>
      <c r="F45" s="151">
        <f>F44*$B$30/100</f>
        <v>18.526641999999999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0.14258879999999999</v>
      </c>
      <c r="E46" s="156"/>
      <c r="F46" s="157">
        <f>F45/$B$45</f>
        <v>0.18526641999999999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0.16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5912247.0357173374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7.1723954925897301E-3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Sulfamethoxazole 800 mg and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800</v>
      </c>
      <c r="C56" s="77" t="str">
        <f>B20</f>
        <v>Sulfamethoxazole BP 800 MG &amp; Trimethoprim BP 160 MG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trimethoprim!B57</f>
        <v>1087.1855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14"/>
    </row>
    <row r="60" spans="1:12" s="2" customFormat="1" ht="26.25" customHeight="1" x14ac:dyDescent="0.4">
      <c r="A60" s="119" t="s">
        <v>111</v>
      </c>
      <c r="B60" s="120">
        <v>2</v>
      </c>
      <c r="C60" s="179" t="s">
        <v>66</v>
      </c>
      <c r="D60" s="180">
        <f>trimethoprim!D60</f>
        <v>1080.54</v>
      </c>
      <c r="E60" s="181">
        <v>1</v>
      </c>
      <c r="F60" s="182">
        <v>5700286</v>
      </c>
      <c r="G60" s="183">
        <f>IF(ISBLANK(F60),"-",(F60/$D$50*$D$47*$B$68)*($B$57/$D$60))</f>
        <v>776.06279555625542</v>
      </c>
      <c r="H60" s="184">
        <f t="shared" ref="H60:H71" si="0">IF(ISBLANK(F60),"-",(G60/$B$56)*100)</f>
        <v>97.007849444531928</v>
      </c>
      <c r="I60" s="102"/>
      <c r="L60" s="14"/>
    </row>
    <row r="61" spans="1:12" s="2" customFormat="1" ht="26.25" customHeight="1" x14ac:dyDescent="0.4">
      <c r="A61" s="119" t="s">
        <v>112</v>
      </c>
      <c r="B61" s="120">
        <v>100</v>
      </c>
      <c r="C61" s="185"/>
      <c r="D61" s="186"/>
      <c r="E61" s="187">
        <v>2</v>
      </c>
      <c r="F61" s="132">
        <v>5721287</v>
      </c>
      <c r="G61" s="188">
        <f>IF(ISBLANK(F61),"-",(F61/$D$50*$D$47*$B$68)*($B$57/$D$60))</f>
        <v>778.92196696791393</v>
      </c>
      <c r="H61" s="189">
        <f t="shared" si="0"/>
        <v>97.365245870989241</v>
      </c>
      <c r="I61" s="102"/>
      <c r="L61" s="14"/>
    </row>
    <row r="62" spans="1:12" s="2" customFormat="1" ht="26.25" customHeight="1" x14ac:dyDescent="0.4">
      <c r="A62" s="119" t="s">
        <v>113</v>
      </c>
      <c r="B62" s="120">
        <v>1</v>
      </c>
      <c r="C62" s="185"/>
      <c r="D62" s="186"/>
      <c r="E62" s="187">
        <v>3</v>
      </c>
      <c r="F62" s="190">
        <v>5739866</v>
      </c>
      <c r="G62" s="188">
        <f>IF(ISBLANK(F62),"-",(F62/$D$50*$D$47*$B$68)*($B$57/$D$60))</f>
        <v>781.45139631209759</v>
      </c>
      <c r="H62" s="189">
        <f t="shared" si="0"/>
        <v>97.681424539012198</v>
      </c>
      <c r="I62" s="102"/>
      <c r="L62" s="14"/>
    </row>
    <row r="63" spans="1:12" ht="27" customHeight="1" x14ac:dyDescent="0.4">
      <c r="A63" s="119" t="s">
        <v>114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115</v>
      </c>
      <c r="B64" s="120">
        <v>1</v>
      </c>
      <c r="C64" s="179" t="s">
        <v>67</v>
      </c>
      <c r="D64" s="180">
        <f>trimethoprim!D64</f>
        <v>1072.72</v>
      </c>
      <c r="E64" s="181">
        <v>1</v>
      </c>
      <c r="F64" s="182">
        <v>5523246</v>
      </c>
      <c r="G64" s="183">
        <f>IF(ISBLANK(F64),"-",(F64/$D$50*$D$47*$B$68)*($B$57/$D$64))</f>
        <v>757.44146322232575</v>
      </c>
      <c r="H64" s="184">
        <f t="shared" si="0"/>
        <v>94.680182902790719</v>
      </c>
      <c r="I64" s="78"/>
    </row>
    <row r="65" spans="1:9" ht="26.25" customHeight="1" x14ac:dyDescent="0.4">
      <c r="A65" s="119" t="s">
        <v>116</v>
      </c>
      <c r="B65" s="120">
        <v>1</v>
      </c>
      <c r="C65" s="185"/>
      <c r="D65" s="186"/>
      <c r="E65" s="187">
        <v>2</v>
      </c>
      <c r="F65" s="132">
        <v>5520726</v>
      </c>
      <c r="G65" s="188">
        <f>IF(ISBLANK(F65),"-",(F65/$D$50*$D$47*$B$68)*($B$57/$D$64))</f>
        <v>757.0958779474131</v>
      </c>
      <c r="H65" s="189">
        <f t="shared" si="0"/>
        <v>94.636984743426638</v>
      </c>
      <c r="I65" s="78"/>
    </row>
    <row r="66" spans="1:9" ht="26.25" customHeight="1" x14ac:dyDescent="0.4">
      <c r="A66" s="119" t="s">
        <v>117</v>
      </c>
      <c r="B66" s="120">
        <v>1</v>
      </c>
      <c r="C66" s="185"/>
      <c r="D66" s="186"/>
      <c r="E66" s="187">
        <v>3</v>
      </c>
      <c r="F66" s="132">
        <v>5542645</v>
      </c>
      <c r="G66" s="188">
        <f>IF(ISBLANK(F66),"-",(F66/$D$50*$D$47*$B$68)*($B$57/$D$64))</f>
        <v>760.10178415408382</v>
      </c>
      <c r="H66" s="189">
        <f t="shared" si="0"/>
        <v>95.012723019260477</v>
      </c>
      <c r="I66" s="78"/>
    </row>
    <row r="67" spans="1:9" ht="27" customHeight="1" x14ac:dyDescent="0.4">
      <c r="A67" s="119" t="s">
        <v>118</v>
      </c>
      <c r="B67" s="120">
        <v>1</v>
      </c>
      <c r="C67" s="191"/>
      <c r="D67" s="192"/>
      <c r="E67" s="193">
        <v>4</v>
      </c>
      <c r="F67" s="194"/>
      <c r="G67" s="195" t="str">
        <f>IF(ISBLANK(F67),"-",(F67/$D$50*$D$47*$B$68)*($B$57/$D$64))</f>
        <v>-</v>
      </c>
      <c r="H67" s="196" t="str">
        <f t="shared" si="0"/>
        <v>-</v>
      </c>
      <c r="I67" s="78"/>
    </row>
    <row r="68" spans="1:9" ht="26.25" customHeight="1" x14ac:dyDescent="0.4">
      <c r="A68" s="119" t="s">
        <v>68</v>
      </c>
      <c r="B68" s="197">
        <f>(B67/B66)*(B65/B64)*(B63/B62)*(B61/B60)*B59</f>
        <v>5000</v>
      </c>
      <c r="C68" s="179" t="s">
        <v>69</v>
      </c>
      <c r="D68" s="180">
        <f>trimethoprim!D68</f>
        <v>1084.99</v>
      </c>
      <c r="E68" s="181">
        <v>1</v>
      </c>
      <c r="F68" s="182">
        <v>5732109</v>
      </c>
      <c r="G68" s="183">
        <f>IF(ISBLANK(F68),"-",(F68/$D$50*$D$47*$B$68)*($B$57/$D$68))</f>
        <v>777.19459393000216</v>
      </c>
      <c r="H68" s="189">
        <f t="shared" si="0"/>
        <v>97.14932424125027</v>
      </c>
      <c r="I68" s="78"/>
    </row>
    <row r="69" spans="1:9" ht="27" customHeight="1" x14ac:dyDescent="0.4">
      <c r="A69" s="170" t="s">
        <v>70</v>
      </c>
      <c r="B69" s="198">
        <f>(D47*B68)/B56*B57</f>
        <v>1087.1855</v>
      </c>
      <c r="C69" s="185"/>
      <c r="D69" s="186"/>
      <c r="E69" s="187">
        <v>2</v>
      </c>
      <c r="F69" s="132">
        <v>5764991</v>
      </c>
      <c r="G69" s="188">
        <f>IF(ISBLANK(F69),"-",(F69/$D$50*$D$47*$B$68)*($B$57/$D$68))</f>
        <v>781.65293773288624</v>
      </c>
      <c r="H69" s="189">
        <f t="shared" si="0"/>
        <v>97.70661721661078</v>
      </c>
      <c r="I69" s="78"/>
    </row>
    <row r="70" spans="1:9" ht="26.25" customHeight="1" x14ac:dyDescent="0.4">
      <c r="A70" s="199" t="s">
        <v>51</v>
      </c>
      <c r="B70" s="200"/>
      <c r="C70" s="185"/>
      <c r="D70" s="186"/>
      <c r="E70" s="187">
        <v>3</v>
      </c>
      <c r="F70" s="132">
        <v>5750181</v>
      </c>
      <c r="G70" s="188">
        <f>IF(ISBLANK(F70),"-",(F70/$D$50*$D$47*$B$68)*($B$57/$D$68))</f>
        <v>779.64490684301597</v>
      </c>
      <c r="H70" s="189">
        <f t="shared" si="0"/>
        <v>97.455613355376997</v>
      </c>
      <c r="I70" s="78"/>
    </row>
    <row r="71" spans="1:9" ht="27" customHeight="1" x14ac:dyDescent="0.4">
      <c r="A71" s="201"/>
      <c r="B71" s="202"/>
      <c r="C71" s="203"/>
      <c r="D71" s="192"/>
      <c r="E71" s="193">
        <v>4</v>
      </c>
      <c r="F71" s="194"/>
      <c r="G71" s="195" t="str">
        <f>IF(ISBLANK(F71),"-",(F71/$D$50*$D$47*$B$68)*($B$57/$D$68))</f>
        <v>-</v>
      </c>
      <c r="H71" s="196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4" t="s">
        <v>46</v>
      </c>
      <c r="G72" s="205">
        <f>AVERAGE(G60:G71)</f>
        <v>772.17419140733261</v>
      </c>
      <c r="H72" s="206">
        <f>AVERAGE(H60:H71)</f>
        <v>96.521773925916577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7" t="s">
        <v>57</v>
      </c>
      <c r="G73" s="208">
        <f>STDEV(G60:G71)/G72</f>
        <v>1.3794920558647892E-2</v>
      </c>
      <c r="H73" s="208">
        <f>STDEV(H60:H71)/H72</f>
        <v>1.3794920558647892E-2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09" t="s">
        <v>6</v>
      </c>
      <c r="G74" s="210">
        <f>COUNT(G60:G71)</f>
        <v>9</v>
      </c>
      <c r="H74" s="210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1" t="str">
        <f>B26</f>
        <v>Sulfamethoxazole</v>
      </c>
      <c r="D76" s="211"/>
      <c r="E76" s="77" t="s">
        <v>73</v>
      </c>
      <c r="F76" s="77"/>
      <c r="G76" s="212">
        <f>H72</f>
        <v>96.521773925916577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3" t="str">
        <f>B26</f>
        <v>Sulfamethoxazole</v>
      </c>
      <c r="C79" s="213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3" t="str">
        <f>B27</f>
        <v>NDQE201607028</v>
      </c>
      <c r="C80" s="213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99.28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0.26</v>
      </c>
      <c r="C82" s="99" t="s">
        <v>31</v>
      </c>
      <c r="D82" s="100"/>
      <c r="E82" s="100"/>
      <c r="F82" s="100"/>
      <c r="G82" s="101"/>
      <c r="H82" s="102"/>
      <c r="I82" s="103"/>
      <c r="J82" s="14"/>
      <c r="K82" s="14"/>
      <c r="L82" s="14"/>
    </row>
    <row r="83" spans="1:12" s="2" customFormat="1" ht="19.5" customHeight="1" x14ac:dyDescent="0.3">
      <c r="A83" s="95" t="s">
        <v>32</v>
      </c>
      <c r="B83" s="104">
        <f>B81-B82</f>
        <v>99.02</v>
      </c>
      <c r="C83" s="105"/>
      <c r="D83" s="105"/>
      <c r="E83" s="105"/>
      <c r="F83" s="105"/>
      <c r="G83" s="106"/>
      <c r="H83" s="102"/>
      <c r="I83" s="103"/>
      <c r="J83" s="14"/>
      <c r="K83" s="14"/>
      <c r="L83" s="1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14"/>
      <c r="K84" s="14"/>
      <c r="L84" s="1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14"/>
      <c r="K85" s="14"/>
      <c r="L85" s="1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14"/>
      <c r="K86" s="14"/>
      <c r="L86" s="1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14"/>
      <c r="K87" s="14"/>
      <c r="L87" s="1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100</v>
      </c>
      <c r="C89" s="78"/>
      <c r="D89" s="214" t="s">
        <v>40</v>
      </c>
      <c r="E89" s="215"/>
      <c r="F89" s="116" t="s">
        <v>41</v>
      </c>
      <c r="G89" s="118"/>
      <c r="H89" s="78"/>
      <c r="I89" s="78"/>
    </row>
    <row r="90" spans="1:12" ht="27" customHeight="1" x14ac:dyDescent="0.4">
      <c r="A90" s="119" t="s">
        <v>103</v>
      </c>
      <c r="B90" s="120">
        <v>1</v>
      </c>
      <c r="C90" s="216" t="s">
        <v>42</v>
      </c>
      <c r="D90" s="122" t="s">
        <v>43</v>
      </c>
      <c r="E90" s="123" t="s">
        <v>44</v>
      </c>
      <c r="F90" s="122" t="s">
        <v>43</v>
      </c>
      <c r="G90" s="217" t="s">
        <v>44</v>
      </c>
      <c r="H90" s="78"/>
      <c r="I90" s="125" t="s">
        <v>45</v>
      </c>
    </row>
    <row r="91" spans="1:12" ht="26.25" customHeight="1" x14ac:dyDescent="0.4">
      <c r="A91" s="119" t="s">
        <v>104</v>
      </c>
      <c r="B91" s="120">
        <v>1</v>
      </c>
      <c r="C91" s="218">
        <v>1</v>
      </c>
      <c r="D91" s="127">
        <v>5233427</v>
      </c>
      <c r="E91" s="128">
        <f>IF(ISBLANK(D91),"-",$D$101/$D$98*D91)</f>
        <v>6524965.6510344585</v>
      </c>
      <c r="F91" s="127">
        <v>6892109</v>
      </c>
      <c r="G91" s="129">
        <f>IF(ISBLANK(F91),"-",$D$101/$F$98*F91)</f>
        <v>6613523.4988737963</v>
      </c>
      <c r="H91" s="78"/>
      <c r="I91" s="130"/>
    </row>
    <row r="92" spans="1:12" ht="26.25" customHeight="1" x14ac:dyDescent="0.4">
      <c r="A92" s="119" t="s">
        <v>105</v>
      </c>
      <c r="B92" s="120">
        <v>1</v>
      </c>
      <c r="C92" s="150">
        <v>2</v>
      </c>
      <c r="D92" s="132">
        <v>5231083</v>
      </c>
      <c r="E92" s="133">
        <f>IF(ISBLANK(D92),"-",$D$101/$D$98*D92)</f>
        <v>6522043.1836940292</v>
      </c>
      <c r="F92" s="132">
        <v>6894967</v>
      </c>
      <c r="G92" s="134">
        <f>IF(ISBLANK(F92),"-",$D$101/$F$98*F92)</f>
        <v>6616265.9758369122</v>
      </c>
      <c r="H92" s="78"/>
      <c r="I92" s="135">
        <f>ABS((F96/D96*D95)-F95)/D95</f>
        <v>1.7041931457489754E-2</v>
      </c>
    </row>
    <row r="93" spans="1:12" ht="26.25" customHeight="1" x14ac:dyDescent="0.4">
      <c r="A93" s="119" t="s">
        <v>106</v>
      </c>
      <c r="B93" s="120">
        <v>1</v>
      </c>
      <c r="C93" s="150">
        <v>3</v>
      </c>
      <c r="D93" s="132">
        <v>5239133</v>
      </c>
      <c r="E93" s="133">
        <f>IF(ISBLANK(D93),"-",$D$101/$D$98*D93)</f>
        <v>6532079.8142786967</v>
      </c>
      <c r="F93" s="132">
        <v>6884375</v>
      </c>
      <c r="G93" s="134">
        <f>IF(ISBLANK(F93),"-",$D$101/$F$98*F93)</f>
        <v>6606102.1143976822</v>
      </c>
      <c r="H93" s="78"/>
      <c r="I93" s="135"/>
    </row>
    <row r="94" spans="1:12" ht="27" customHeight="1" x14ac:dyDescent="0.4">
      <c r="A94" s="119" t="s">
        <v>107</v>
      </c>
      <c r="B94" s="120">
        <v>1</v>
      </c>
      <c r="C94" s="219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108</v>
      </c>
      <c r="B95" s="120">
        <v>1</v>
      </c>
      <c r="C95" s="95" t="s">
        <v>46</v>
      </c>
      <c r="D95" s="220">
        <f>AVERAGE(D91:D94)</f>
        <v>5234547.666666667</v>
      </c>
      <c r="E95" s="143">
        <f>AVERAGE(E91:E94)</f>
        <v>6526362.8830023939</v>
      </c>
      <c r="F95" s="221">
        <f>AVERAGE(F91:F94)</f>
        <v>6890483.666666667</v>
      </c>
      <c r="G95" s="222">
        <f>AVERAGE(G91:G94)</f>
        <v>6611963.8630361306</v>
      </c>
      <c r="H95" s="78"/>
      <c r="I95" s="78"/>
    </row>
    <row r="96" spans="1:12" ht="26.25" customHeight="1" x14ac:dyDescent="0.4">
      <c r="A96" s="119" t="s">
        <v>109</v>
      </c>
      <c r="B96" s="97">
        <v>1</v>
      </c>
      <c r="C96" s="223" t="s">
        <v>78</v>
      </c>
      <c r="D96" s="224">
        <f>D43</f>
        <v>14.4</v>
      </c>
      <c r="E96" s="77"/>
      <c r="F96" s="147">
        <f>F43</f>
        <v>18.71</v>
      </c>
      <c r="G96" s="78"/>
      <c r="H96" s="78"/>
      <c r="I96" s="78"/>
    </row>
    <row r="97" spans="1:10" ht="26.25" customHeight="1" x14ac:dyDescent="0.4">
      <c r="A97" s="119" t="s">
        <v>110</v>
      </c>
      <c r="B97" s="97">
        <v>1</v>
      </c>
      <c r="C97" s="225" t="s">
        <v>79</v>
      </c>
      <c r="D97" s="226">
        <f>D96*$B$87</f>
        <v>14.4</v>
      </c>
      <c r="E97" s="150"/>
      <c r="F97" s="149">
        <f>F96*$B$87</f>
        <v>18.71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100</v>
      </c>
      <c r="C98" s="225" t="s">
        <v>80</v>
      </c>
      <c r="D98" s="227">
        <f>D97*$B$83/100</f>
        <v>14.25888</v>
      </c>
      <c r="E98" s="152"/>
      <c r="F98" s="151">
        <f>F97*$B$83/100</f>
        <v>18.526641999999999</v>
      </c>
      <c r="G98" s="78"/>
      <c r="H98" s="78"/>
      <c r="I98" s="78"/>
    </row>
    <row r="99" spans="1:10" ht="19.5" customHeight="1" x14ac:dyDescent="0.3">
      <c r="A99" s="153" t="s">
        <v>51</v>
      </c>
      <c r="B99" s="228"/>
      <c r="C99" s="225" t="s">
        <v>81</v>
      </c>
      <c r="D99" s="229">
        <f>D98/$B$98</f>
        <v>0.14258879999999999</v>
      </c>
      <c r="E99" s="152"/>
      <c r="F99" s="157">
        <f>F98/$B$98</f>
        <v>0.18526641999999999</v>
      </c>
      <c r="G99" s="78"/>
      <c r="H99" s="145"/>
      <c r="I99" s="78"/>
    </row>
    <row r="100" spans="1:10" ht="19.5" customHeight="1" x14ac:dyDescent="0.3">
      <c r="A100" s="158"/>
      <c r="B100" s="230"/>
      <c r="C100" s="225" t="s">
        <v>53</v>
      </c>
      <c r="D100" s="231">
        <f>$B$56/$B$116</f>
        <v>0.17777777777777778</v>
      </c>
      <c r="E100" s="78"/>
      <c r="F100" s="164"/>
      <c r="G100" s="232"/>
      <c r="H100" s="145"/>
      <c r="I100" s="78"/>
    </row>
    <row r="101" spans="1:10" ht="18.75" x14ac:dyDescent="0.3">
      <c r="A101" s="78"/>
      <c r="B101" s="78"/>
      <c r="C101" s="225" t="s">
        <v>54</v>
      </c>
      <c r="D101" s="226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3" t="s">
        <v>55</v>
      </c>
      <c r="D102" s="234">
        <f>D101/B34</f>
        <v>17.777777777777779</v>
      </c>
      <c r="E102" s="78"/>
      <c r="F102" s="168"/>
      <c r="G102" s="78"/>
      <c r="H102" s="145"/>
      <c r="I102" s="78"/>
      <c r="J102" s="21"/>
    </row>
    <row r="103" spans="1:10" ht="18.75" x14ac:dyDescent="0.3">
      <c r="A103" s="78"/>
      <c r="B103" s="78"/>
      <c r="C103" s="235" t="s">
        <v>82</v>
      </c>
      <c r="D103" s="236">
        <f>AVERAGE(E91:E94,G91:G94)</f>
        <v>6569163.3730192622</v>
      </c>
      <c r="E103" s="78"/>
      <c r="F103" s="168"/>
      <c r="G103" s="232"/>
      <c r="H103" s="145"/>
      <c r="I103" s="78"/>
      <c r="J103" s="22"/>
    </row>
    <row r="104" spans="1:10" ht="18.75" x14ac:dyDescent="0.3">
      <c r="A104" s="78"/>
      <c r="B104" s="78"/>
      <c r="C104" s="207" t="s">
        <v>57</v>
      </c>
      <c r="D104" s="237">
        <f>STDEV(E91:E94,G91:G94)/D103</f>
        <v>7.1723954925898082E-3</v>
      </c>
      <c r="E104" s="78"/>
      <c r="F104" s="168"/>
      <c r="G104" s="78"/>
      <c r="H104" s="145"/>
      <c r="I104" s="78"/>
      <c r="J104" s="22"/>
    </row>
    <row r="105" spans="1:10" ht="19.5" customHeight="1" x14ac:dyDescent="0.3">
      <c r="A105" s="78"/>
      <c r="B105" s="78"/>
      <c r="C105" s="209" t="s">
        <v>6</v>
      </c>
      <c r="D105" s="238">
        <f>COUNT(E91:E94,G91:G94)</f>
        <v>6</v>
      </c>
      <c r="E105" s="78"/>
      <c r="F105" s="168"/>
      <c r="G105" s="78"/>
      <c r="H105" s="145"/>
      <c r="I105" s="78"/>
      <c r="J105" s="2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39" t="s">
        <v>86</v>
      </c>
      <c r="G107" s="78"/>
      <c r="H107" s="78"/>
      <c r="I107" s="78"/>
    </row>
    <row r="108" spans="1:10" ht="26.25" customHeight="1" x14ac:dyDescent="0.4">
      <c r="A108" s="119" t="s">
        <v>119</v>
      </c>
      <c r="B108" s="120">
        <v>5</v>
      </c>
      <c r="C108" s="181">
        <v>1</v>
      </c>
      <c r="D108" s="240">
        <v>6346621</v>
      </c>
      <c r="E108" s="241">
        <f t="shared" ref="E108:E113" si="1">IF(ISBLANK(D108),"-",D108/$D$103*$D$100*$B$116)</f>
        <v>772.89854304025573</v>
      </c>
      <c r="F108" s="242">
        <f t="shared" ref="F108:F113" si="2">IF(ISBLANK(D108), "-", (E108/$B$56)*100)</f>
        <v>96.612317880031966</v>
      </c>
      <c r="G108" s="78"/>
      <c r="H108" s="78"/>
      <c r="I108" s="78"/>
    </row>
    <row r="109" spans="1:10" ht="26.25" customHeight="1" x14ac:dyDescent="0.4">
      <c r="A109" s="119" t="s">
        <v>112</v>
      </c>
      <c r="B109" s="120">
        <v>25</v>
      </c>
      <c r="C109" s="187">
        <v>2</v>
      </c>
      <c r="D109" s="243">
        <v>6346204</v>
      </c>
      <c r="E109" s="244">
        <f t="shared" si="1"/>
        <v>772.84776031785168</v>
      </c>
      <c r="F109" s="245">
        <f t="shared" si="2"/>
        <v>96.60597003973146</v>
      </c>
      <c r="G109" s="78"/>
      <c r="H109" s="78"/>
      <c r="I109" s="78"/>
    </row>
    <row r="110" spans="1:10" ht="26.25" customHeight="1" x14ac:dyDescent="0.4">
      <c r="A110" s="119" t="s">
        <v>113</v>
      </c>
      <c r="B110" s="120">
        <v>1</v>
      </c>
      <c r="C110" s="187">
        <v>3</v>
      </c>
      <c r="D110" s="243">
        <v>6347638</v>
      </c>
      <c r="E110" s="244">
        <f t="shared" si="1"/>
        <v>773.02239442798987</v>
      </c>
      <c r="F110" s="245">
        <f t="shared" si="2"/>
        <v>96.627799303498733</v>
      </c>
      <c r="G110" s="78"/>
      <c r="H110" s="78"/>
      <c r="I110" s="78"/>
    </row>
    <row r="111" spans="1:10" ht="26.25" customHeight="1" x14ac:dyDescent="0.4">
      <c r="A111" s="119" t="s">
        <v>114</v>
      </c>
      <c r="B111" s="120">
        <v>1</v>
      </c>
      <c r="C111" s="187">
        <v>4</v>
      </c>
      <c r="D111" s="243">
        <v>6349678</v>
      </c>
      <c r="E111" s="244">
        <f t="shared" si="1"/>
        <v>773.27082789011126</v>
      </c>
      <c r="F111" s="245">
        <f t="shared" si="2"/>
        <v>96.658853486263908</v>
      </c>
      <c r="G111" s="78"/>
      <c r="H111" s="78"/>
      <c r="I111" s="78"/>
    </row>
    <row r="112" spans="1:10" ht="26.25" customHeight="1" x14ac:dyDescent="0.4">
      <c r="A112" s="119" t="s">
        <v>115</v>
      </c>
      <c r="B112" s="120">
        <v>1</v>
      </c>
      <c r="C112" s="187">
        <v>5</v>
      </c>
      <c r="D112" s="243">
        <v>6288789</v>
      </c>
      <c r="E112" s="244">
        <f t="shared" si="1"/>
        <v>765.85569795133301</v>
      </c>
      <c r="F112" s="245">
        <f t="shared" si="2"/>
        <v>95.731962243916627</v>
      </c>
      <c r="G112" s="78"/>
      <c r="H112" s="78"/>
      <c r="I112" s="78"/>
    </row>
    <row r="113" spans="1:10" ht="27" customHeight="1" x14ac:dyDescent="0.4">
      <c r="A113" s="119" t="s">
        <v>116</v>
      </c>
      <c r="B113" s="120">
        <v>1</v>
      </c>
      <c r="C113" s="193">
        <v>6</v>
      </c>
      <c r="D113" s="246">
        <v>6319058</v>
      </c>
      <c r="E113" s="247">
        <f t="shared" si="1"/>
        <v>769.54189033611306</v>
      </c>
      <c r="F113" s="248">
        <f t="shared" si="2"/>
        <v>96.192736292014132</v>
      </c>
      <c r="G113" s="78"/>
      <c r="H113" s="78"/>
      <c r="I113" s="78"/>
    </row>
    <row r="114" spans="1:10" ht="27" customHeight="1" x14ac:dyDescent="0.4">
      <c r="A114" s="119" t="s">
        <v>117</v>
      </c>
      <c r="B114" s="120">
        <v>1</v>
      </c>
      <c r="C114" s="249"/>
      <c r="D114" s="150"/>
      <c r="E114" s="77"/>
      <c r="F114" s="245"/>
      <c r="G114" s="78"/>
      <c r="H114" s="78"/>
      <c r="I114" s="78"/>
    </row>
    <row r="115" spans="1:10" ht="26.25" customHeight="1" x14ac:dyDescent="0.4">
      <c r="A115" s="119" t="s">
        <v>118</v>
      </c>
      <c r="B115" s="120">
        <v>1</v>
      </c>
      <c r="C115" s="249"/>
      <c r="D115" s="250" t="s">
        <v>46</v>
      </c>
      <c r="E115" s="251">
        <f>AVERAGE(E108:E113)</f>
        <v>771.23951899394251</v>
      </c>
      <c r="F115" s="252">
        <f>AVERAGE(F108:F113)</f>
        <v>96.404939874242814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3"/>
      <c r="D116" s="254" t="s">
        <v>57</v>
      </c>
      <c r="E116" s="208">
        <f>STDEV(E108:E113)/E115</f>
        <v>3.868655433937654E-3</v>
      </c>
      <c r="F116" s="255">
        <f>STDEV(F108:F113)/F115</f>
        <v>3.868655433937654E-3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6"/>
      <c r="D117" s="209" t="s">
        <v>6</v>
      </c>
      <c r="E117" s="257">
        <f>COUNT(E108:E113)</f>
        <v>6</v>
      </c>
      <c r="F117" s="258">
        <f>COUNT(F108:F113)</f>
        <v>6</v>
      </c>
      <c r="G117" s="78"/>
      <c r="H117" s="78"/>
      <c r="I117" s="77"/>
      <c r="J117" s="22"/>
    </row>
    <row r="118" spans="1:10" ht="26.25" customHeight="1" x14ac:dyDescent="0.3">
      <c r="A118" s="158"/>
      <c r="B118" s="159"/>
      <c r="C118" s="77"/>
      <c r="D118" s="259"/>
      <c r="E118" s="260" t="s">
        <v>87</v>
      </c>
      <c r="F118" s="261"/>
      <c r="G118" s="77"/>
      <c r="H118" s="77"/>
      <c r="I118" s="77"/>
    </row>
    <row r="119" spans="1:10" ht="25.5" customHeight="1" x14ac:dyDescent="0.4">
      <c r="A119" s="262"/>
      <c r="B119" s="112"/>
      <c r="C119" s="77"/>
      <c r="D119" s="254" t="s">
        <v>88</v>
      </c>
      <c r="E119" s="263">
        <f>MIN(E108:E113)</f>
        <v>765.85569795133301</v>
      </c>
      <c r="F119" s="264">
        <f>MIN(F108:F113)</f>
        <v>95.731962243916627</v>
      </c>
      <c r="G119" s="77"/>
      <c r="H119" s="77"/>
      <c r="I119" s="77"/>
    </row>
    <row r="120" spans="1:10" ht="24" customHeight="1" x14ac:dyDescent="0.4">
      <c r="A120" s="262"/>
      <c r="B120" s="112"/>
      <c r="C120" s="77"/>
      <c r="D120" s="165" t="s">
        <v>89</v>
      </c>
      <c r="E120" s="265">
        <f>MAX(E108:E113)</f>
        <v>773.27082789011126</v>
      </c>
      <c r="F120" s="266">
        <f>MAX(F108:F113)</f>
        <v>96.658853486263908</v>
      </c>
      <c r="G120" s="77"/>
      <c r="H120" s="77"/>
      <c r="I120" s="77"/>
    </row>
    <row r="121" spans="1:10" ht="27" customHeight="1" x14ac:dyDescent="0.3">
      <c r="A121" s="262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2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2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1" t="str">
        <f>B26</f>
        <v>Sulfamethoxazole</v>
      </c>
      <c r="D124" s="211"/>
      <c r="E124" s="77" t="s">
        <v>91</v>
      </c>
      <c r="F124" s="77"/>
      <c r="G124" s="267">
        <f>F115</f>
        <v>96.404939874242814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67">
        <f>MIN(F108:F113)</f>
        <v>95.731962243916627</v>
      </c>
      <c r="E125" s="95" t="s">
        <v>94</v>
      </c>
      <c r="F125" s="267">
        <f>MAX(F108:F113)</f>
        <v>96.658853486263908</v>
      </c>
      <c r="G125" s="212"/>
      <c r="H125" s="77"/>
      <c r="I125" s="77"/>
    </row>
    <row r="126" spans="1:10" ht="19.5" customHeight="1" x14ac:dyDescent="0.3">
      <c r="A126" s="268"/>
      <c r="B126" s="268"/>
      <c r="C126" s="269"/>
      <c r="D126" s="269"/>
      <c r="E126" s="269"/>
      <c r="F126" s="269"/>
      <c r="G126" s="269"/>
      <c r="H126" s="269"/>
      <c r="I126" s="78"/>
    </row>
    <row r="127" spans="1:10" ht="18.75" x14ac:dyDescent="0.3">
      <c r="A127" s="78"/>
      <c r="B127" s="270" t="s">
        <v>7</v>
      </c>
      <c r="C127" s="270"/>
      <c r="D127" s="78"/>
      <c r="E127" s="216" t="s">
        <v>8</v>
      </c>
      <c r="F127" s="271"/>
      <c r="G127" s="270" t="s">
        <v>9</v>
      </c>
      <c r="H127" s="270"/>
      <c r="I127" s="78"/>
    </row>
    <row r="128" spans="1:10" ht="69.95" customHeight="1" x14ac:dyDescent="0.3">
      <c r="A128" s="94" t="s">
        <v>10</v>
      </c>
      <c r="B128" s="272"/>
      <c r="C128" s="272"/>
      <c r="D128" s="78"/>
      <c r="E128" s="272"/>
      <c r="F128" s="77"/>
      <c r="G128" s="272"/>
      <c r="H128" s="272"/>
      <c r="I128" s="78"/>
    </row>
    <row r="129" spans="1:9" ht="69.95" customHeight="1" x14ac:dyDescent="0.3">
      <c r="A129" s="94" t="s">
        <v>11</v>
      </c>
      <c r="B129" s="273"/>
      <c r="C129" s="273"/>
      <c r="D129" s="78"/>
      <c r="E129" s="273"/>
      <c r="F129" s="77"/>
      <c r="G129" s="274"/>
      <c r="H129" s="274"/>
      <c r="I129" s="78"/>
    </row>
    <row r="130" spans="1:9" ht="18.75" x14ac:dyDescent="0.3">
      <c r="A130" s="150"/>
      <c r="B130" s="150"/>
      <c r="C130" s="150"/>
      <c r="D130" s="150"/>
      <c r="E130" s="150"/>
      <c r="F130" s="152"/>
      <c r="G130" s="150"/>
      <c r="H130" s="150"/>
      <c r="I130" s="77"/>
    </row>
    <row r="131" spans="1:9" ht="18.75" x14ac:dyDescent="0.3">
      <c r="A131" s="18"/>
      <c r="B131" s="18"/>
      <c r="C131" s="19"/>
      <c r="D131" s="19"/>
      <c r="E131" s="19"/>
      <c r="F131" s="20"/>
      <c r="G131" s="19"/>
      <c r="H131" s="19"/>
      <c r="I131" s="13"/>
    </row>
    <row r="132" spans="1:9" ht="18.75" x14ac:dyDescent="0.3">
      <c r="A132" s="18"/>
      <c r="B132" s="18"/>
      <c r="C132" s="19"/>
      <c r="D132" s="19"/>
      <c r="E132" s="19"/>
      <c r="F132" s="20"/>
      <c r="G132" s="19"/>
      <c r="H132" s="19"/>
      <c r="I132" s="13"/>
    </row>
    <row r="133" spans="1:9" ht="18.75" x14ac:dyDescent="0.3">
      <c r="A133" s="18"/>
      <c r="B133" s="18"/>
      <c r="C133" s="19"/>
      <c r="D133" s="19"/>
      <c r="E133" s="19"/>
      <c r="F133" s="20"/>
      <c r="G133" s="19"/>
      <c r="H133" s="19"/>
      <c r="I133" s="13"/>
    </row>
    <row r="134" spans="1:9" ht="18.75" x14ac:dyDescent="0.3">
      <c r="A134" s="18"/>
      <c r="B134" s="18"/>
      <c r="C134" s="19"/>
      <c r="D134" s="19"/>
      <c r="E134" s="19"/>
      <c r="F134" s="20"/>
      <c r="G134" s="19"/>
      <c r="H134" s="19"/>
      <c r="I134" s="13"/>
    </row>
    <row r="135" spans="1:9" ht="18.75" x14ac:dyDescent="0.3">
      <c r="A135" s="18"/>
      <c r="B135" s="18"/>
      <c r="C135" s="19"/>
      <c r="D135" s="19"/>
      <c r="E135" s="19"/>
      <c r="F135" s="20"/>
      <c r="G135" s="19"/>
      <c r="H135" s="19"/>
      <c r="I135" s="13"/>
    </row>
    <row r="136" spans="1:9" ht="18.75" x14ac:dyDescent="0.3">
      <c r="A136" s="18"/>
      <c r="B136" s="18"/>
      <c r="C136" s="19"/>
      <c r="D136" s="19"/>
      <c r="E136" s="19"/>
      <c r="F136" s="20"/>
      <c r="G136" s="19"/>
      <c r="H136" s="19"/>
      <c r="I136" s="13"/>
    </row>
    <row r="137" spans="1:9" ht="18.75" x14ac:dyDescent="0.3">
      <c r="A137" s="18"/>
      <c r="B137" s="18"/>
      <c r="C137" s="19"/>
      <c r="D137" s="19"/>
      <c r="E137" s="19"/>
      <c r="F137" s="20"/>
      <c r="G137" s="19"/>
      <c r="H137" s="19"/>
      <c r="I137" s="13"/>
    </row>
    <row r="138" spans="1:9" ht="18.75" x14ac:dyDescent="0.3">
      <c r="A138" s="18"/>
      <c r="B138" s="18"/>
      <c r="C138" s="19"/>
      <c r="D138" s="19"/>
      <c r="E138" s="19"/>
      <c r="F138" s="20"/>
      <c r="G138" s="19"/>
      <c r="H138" s="19"/>
      <c r="I138" s="1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23" customWidth="1"/>
    <col min="2" max="2" width="18.42578125" style="23" customWidth="1"/>
    <col min="3" max="3" width="14.28515625" style="23" customWidth="1"/>
    <col min="4" max="4" width="15" style="23" customWidth="1"/>
    <col min="5" max="5" width="9.140625" style="23" customWidth="1"/>
    <col min="6" max="6" width="27.85546875" style="23" customWidth="1"/>
    <col min="7" max="7" width="12.28515625" style="23" customWidth="1"/>
    <col min="8" max="8" width="9.140625" style="23" customWidth="1"/>
    <col min="9" max="16384" width="9.140625" style="24"/>
  </cols>
  <sheetData>
    <row r="10" spans="1:7" ht="13.5" customHeight="1" thickBot="1" x14ac:dyDescent="0.35"/>
    <row r="11" spans="1:7" ht="13.5" customHeight="1" thickBot="1" x14ac:dyDescent="0.35">
      <c r="A11" s="69" t="s">
        <v>12</v>
      </c>
      <c r="B11" s="70"/>
      <c r="C11" s="70"/>
      <c r="D11" s="70"/>
      <c r="E11" s="70"/>
      <c r="F11" s="71"/>
      <c r="G11" s="25"/>
    </row>
    <row r="12" spans="1:7" ht="16.5" customHeight="1" x14ac:dyDescent="0.3">
      <c r="A12" s="72" t="s">
        <v>13</v>
      </c>
      <c r="B12" s="72"/>
      <c r="C12" s="72"/>
      <c r="D12" s="72"/>
      <c r="E12" s="72"/>
      <c r="F12" s="72"/>
      <c r="G12" s="26"/>
    </row>
    <row r="14" spans="1:7" ht="16.5" customHeight="1" x14ac:dyDescent="0.3">
      <c r="A14" s="73" t="s">
        <v>14</v>
      </c>
      <c r="B14" s="73"/>
      <c r="C14" s="27" t="s">
        <v>2</v>
      </c>
    </row>
    <row r="15" spans="1:7" ht="16.5" customHeight="1" x14ac:dyDescent="0.3">
      <c r="A15" s="73" t="s">
        <v>15</v>
      </c>
      <c r="B15" s="73"/>
      <c r="C15" s="27" t="s">
        <v>101</v>
      </c>
    </row>
    <row r="16" spans="1:7" ht="16.5" customHeight="1" x14ac:dyDescent="0.3">
      <c r="A16" s="73" t="s">
        <v>16</v>
      </c>
      <c r="B16" s="73"/>
      <c r="C16" s="27" t="s">
        <v>4</v>
      </c>
    </row>
    <row r="17" spans="1:5" ht="16.5" customHeight="1" x14ac:dyDescent="0.3">
      <c r="A17" s="73" t="s">
        <v>17</v>
      </c>
      <c r="B17" s="73"/>
      <c r="C17" s="27" t="s">
        <v>5</v>
      </c>
    </row>
    <row r="18" spans="1:5" ht="16.5" customHeight="1" x14ac:dyDescent="0.3">
      <c r="A18" s="73" t="s">
        <v>18</v>
      </c>
      <c r="B18" s="73"/>
      <c r="C18" s="28" t="s">
        <v>102</v>
      </c>
    </row>
    <row r="19" spans="1:5" ht="16.5" customHeight="1" x14ac:dyDescent="0.3">
      <c r="A19" s="73" t="s">
        <v>19</v>
      </c>
      <c r="B19" s="73"/>
      <c r="C19" s="28" t="e">
        <f>#REF!</f>
        <v>#REF!</v>
      </c>
    </row>
    <row r="20" spans="1:5" ht="16.5" customHeight="1" x14ac:dyDescent="0.3">
      <c r="A20" s="29"/>
      <c r="B20" s="29"/>
      <c r="C20" s="30"/>
    </row>
    <row r="21" spans="1:5" ht="16.5" customHeight="1" x14ac:dyDescent="0.3">
      <c r="A21" s="72" t="s">
        <v>0</v>
      </c>
      <c r="B21" s="72"/>
      <c r="C21" s="31" t="s">
        <v>20</v>
      </c>
      <c r="D21" s="32"/>
    </row>
    <row r="22" spans="1:5" ht="15.75" customHeight="1" thickBot="1" x14ac:dyDescent="0.35">
      <c r="A22" s="74"/>
      <c r="B22" s="74"/>
      <c r="C22" s="33"/>
      <c r="D22" s="74"/>
      <c r="E22" s="74"/>
    </row>
    <row r="23" spans="1:5" ht="33.75" customHeight="1" thickBot="1" x14ac:dyDescent="0.35">
      <c r="C23" s="34" t="s">
        <v>21</v>
      </c>
      <c r="D23" s="35" t="s">
        <v>22</v>
      </c>
      <c r="E23" s="36"/>
    </row>
    <row r="24" spans="1:5" ht="15.75" customHeight="1" x14ac:dyDescent="0.3">
      <c r="C24" s="37">
        <v>1089.06</v>
      </c>
      <c r="D24" s="38">
        <f t="shared" ref="D24:D43" si="0">(C24-$C$46)/$C$46</f>
        <v>1.7241767849183953E-3</v>
      </c>
      <c r="E24" s="39"/>
    </row>
    <row r="25" spans="1:5" ht="15.75" customHeight="1" x14ac:dyDescent="0.3">
      <c r="C25" s="37">
        <v>1086.73</v>
      </c>
      <c r="D25" s="40">
        <f t="shared" si="0"/>
        <v>-4.1897173941340195E-4</v>
      </c>
      <c r="E25" s="39"/>
    </row>
    <row r="26" spans="1:5" ht="15.75" customHeight="1" x14ac:dyDescent="0.3">
      <c r="C26" s="37">
        <v>1084.94</v>
      </c>
      <c r="D26" s="40">
        <f t="shared" si="0"/>
        <v>-2.0654248975910667E-3</v>
      </c>
      <c r="E26" s="39"/>
    </row>
    <row r="27" spans="1:5" ht="15.75" customHeight="1" x14ac:dyDescent="0.3">
      <c r="C27" s="37">
        <v>1099.28</v>
      </c>
      <c r="D27" s="40">
        <f t="shared" si="0"/>
        <v>1.112459649250282E-2</v>
      </c>
      <c r="E27" s="39"/>
    </row>
    <row r="28" spans="1:5" ht="15.75" customHeight="1" x14ac:dyDescent="0.3">
      <c r="C28" s="37">
        <v>1092.1500000000001</v>
      </c>
      <c r="D28" s="40">
        <f t="shared" si="0"/>
        <v>4.5663780468007007E-3</v>
      </c>
      <c r="E28" s="39"/>
    </row>
    <row r="29" spans="1:5" ht="15.75" customHeight="1" x14ac:dyDescent="0.3">
      <c r="C29" s="37">
        <v>1087.53</v>
      </c>
      <c r="D29" s="40">
        <f t="shared" si="0"/>
        <v>3.1687324748161692E-4</v>
      </c>
      <c r="E29" s="39"/>
    </row>
    <row r="30" spans="1:5" ht="15.75" customHeight="1" x14ac:dyDescent="0.3">
      <c r="C30" s="37">
        <v>1088.8900000000001</v>
      </c>
      <c r="D30" s="40">
        <f t="shared" si="0"/>
        <v>1.5678097252033371E-3</v>
      </c>
      <c r="E30" s="39"/>
    </row>
    <row r="31" spans="1:5" ht="15.75" customHeight="1" x14ac:dyDescent="0.3">
      <c r="C31" s="37">
        <v>1080.45</v>
      </c>
      <c r="D31" s="40">
        <f t="shared" si="0"/>
        <v>-6.1953548865396032E-3</v>
      </c>
      <c r="E31" s="39"/>
    </row>
    <row r="32" spans="1:5" ht="15.75" customHeight="1" x14ac:dyDescent="0.3">
      <c r="C32" s="37">
        <v>1073.1600000000001</v>
      </c>
      <c r="D32" s="40">
        <f t="shared" si="0"/>
        <v>-1.290074232962081E-2</v>
      </c>
      <c r="E32" s="39"/>
    </row>
    <row r="33" spans="1:7" ht="15.75" customHeight="1" x14ac:dyDescent="0.3">
      <c r="C33" s="37">
        <v>1095.8599999999999</v>
      </c>
      <c r="D33" s="40">
        <f t="shared" si="0"/>
        <v>7.9788591735263682E-3</v>
      </c>
      <c r="E33" s="39"/>
    </row>
    <row r="34" spans="1:7" ht="15.75" customHeight="1" x14ac:dyDescent="0.3">
      <c r="C34" s="37">
        <v>1094.5999999999999</v>
      </c>
      <c r="D34" s="40">
        <f t="shared" si="0"/>
        <v>6.8199033191666571E-3</v>
      </c>
      <c r="E34" s="39"/>
    </row>
    <row r="35" spans="1:7" ht="15.75" customHeight="1" x14ac:dyDescent="0.3">
      <c r="C35" s="37">
        <v>1084.75</v>
      </c>
      <c r="D35" s="40">
        <f t="shared" si="0"/>
        <v>-2.240188081978694E-3</v>
      </c>
      <c r="E35" s="39"/>
    </row>
    <row r="36" spans="1:7" ht="15.75" customHeight="1" x14ac:dyDescent="0.3">
      <c r="C36" s="37">
        <v>1088.4000000000001</v>
      </c>
      <c r="D36" s="40">
        <f t="shared" si="0"/>
        <v>1.1171046707301041E-3</v>
      </c>
      <c r="E36" s="39"/>
    </row>
    <row r="37" spans="1:7" ht="15.75" customHeight="1" x14ac:dyDescent="0.3">
      <c r="C37" s="37">
        <v>1089.3499999999999</v>
      </c>
      <c r="D37" s="40">
        <f t="shared" si="0"/>
        <v>1.9909205926678213E-3</v>
      </c>
      <c r="E37" s="39"/>
    </row>
    <row r="38" spans="1:7" ht="15.75" customHeight="1" x14ac:dyDescent="0.3">
      <c r="C38" s="37">
        <v>1095.5899999999999</v>
      </c>
      <c r="D38" s="40">
        <f t="shared" si="0"/>
        <v>7.7305114904493025E-3</v>
      </c>
      <c r="E38" s="39"/>
    </row>
    <row r="39" spans="1:7" ht="15.75" customHeight="1" x14ac:dyDescent="0.3">
      <c r="C39" s="37">
        <v>1101.25</v>
      </c>
      <c r="D39" s="40">
        <f t="shared" si="0"/>
        <v>1.2936614772731933E-2</v>
      </c>
      <c r="E39" s="39"/>
    </row>
    <row r="40" spans="1:7" ht="15.75" customHeight="1" x14ac:dyDescent="0.3">
      <c r="C40" s="37">
        <v>1084.6300000000001</v>
      </c>
      <c r="D40" s="40">
        <f t="shared" si="0"/>
        <v>-2.3505648300128526E-3</v>
      </c>
      <c r="E40" s="39"/>
    </row>
    <row r="41" spans="1:7" ht="15.75" customHeight="1" x14ac:dyDescent="0.3">
      <c r="C41" s="37">
        <v>1087.05</v>
      </c>
      <c r="D41" s="40">
        <f t="shared" si="0"/>
        <v>-1.2463374465543621E-4</v>
      </c>
      <c r="E41" s="39"/>
    </row>
    <row r="42" spans="1:7" ht="15.75" customHeight="1" x14ac:dyDescent="0.3">
      <c r="C42" s="37">
        <v>1062.72</v>
      </c>
      <c r="D42" s="40">
        <f t="shared" si="0"/>
        <v>-2.2503519408601402E-2</v>
      </c>
      <c r="E42" s="39"/>
    </row>
    <row r="43" spans="1:7" ht="16.5" customHeight="1" thickBot="1" x14ac:dyDescent="0.35">
      <c r="C43" s="41">
        <v>1077.32</v>
      </c>
      <c r="D43" s="42">
        <f t="shared" si="0"/>
        <v>-9.0743483977666281E-3</v>
      </c>
      <c r="E43" s="39"/>
    </row>
    <row r="44" spans="1:7" ht="16.5" customHeight="1" thickBot="1" x14ac:dyDescent="0.35">
      <c r="C44" s="43"/>
      <c r="D44" s="39"/>
      <c r="E44" s="44"/>
    </row>
    <row r="45" spans="1:7" ht="16.5" customHeight="1" thickBot="1" x14ac:dyDescent="0.35">
      <c r="B45" s="45" t="s">
        <v>23</v>
      </c>
      <c r="C45" s="46">
        <f>SUM(C24:C44)</f>
        <v>21743.710000000003</v>
      </c>
      <c r="D45" s="47"/>
      <c r="E45" s="43"/>
    </row>
    <row r="46" spans="1:7" ht="17.25" customHeight="1" thickBot="1" x14ac:dyDescent="0.35">
      <c r="B46" s="45" t="s">
        <v>24</v>
      </c>
      <c r="C46" s="48">
        <f>AVERAGE(C24:C44)</f>
        <v>1087.1855</v>
      </c>
      <c r="E46" s="49"/>
    </row>
    <row r="47" spans="1:7" ht="17.25" customHeight="1" thickBot="1" x14ac:dyDescent="0.35">
      <c r="A47" s="27"/>
      <c r="B47" s="50"/>
      <c r="D47" s="51"/>
      <c r="E47" s="49"/>
    </row>
    <row r="48" spans="1:7" ht="33.75" customHeight="1" thickBot="1" x14ac:dyDescent="0.35">
      <c r="B48" s="52" t="s">
        <v>24</v>
      </c>
      <c r="C48" s="35" t="s">
        <v>25</v>
      </c>
      <c r="D48" s="53"/>
      <c r="G48" s="51"/>
    </row>
    <row r="49" spans="1:6" ht="17.25" customHeight="1" thickBot="1" x14ac:dyDescent="0.35">
      <c r="B49" s="67">
        <f>C46</f>
        <v>1087.1855</v>
      </c>
      <c r="C49" s="54">
        <f>-IF(C46&lt;=80,10%,IF(C46&lt;250,7.5%,5%))</f>
        <v>-0.05</v>
      </c>
      <c r="D49" s="55">
        <f>IF(C46&lt;=80,C46*0.9,IF(C46&lt;250,C46*0.925,C46*0.95))</f>
        <v>1032.826225</v>
      </c>
    </row>
    <row r="50" spans="1:6" ht="17.25" customHeight="1" thickBot="1" x14ac:dyDescent="0.35">
      <c r="B50" s="68"/>
      <c r="C50" s="56">
        <f>IF(C46&lt;=80, 10%, IF(C46&lt;250, 7.5%, 5%))</f>
        <v>0.05</v>
      </c>
      <c r="D50" s="55">
        <f>IF(C46&lt;=80, C46*1.1, IF(C46&lt;250, C46*1.075, C46*1.05))</f>
        <v>1141.5447750000001</v>
      </c>
    </row>
    <row r="51" spans="1:6" ht="16.5" customHeight="1" thickBot="1" x14ac:dyDescent="0.35">
      <c r="A51" s="57"/>
      <c r="B51" s="58"/>
      <c r="C51" s="27"/>
      <c r="D51" s="59"/>
      <c r="E51" s="27"/>
      <c r="F51" s="32"/>
    </row>
    <row r="52" spans="1:6" ht="16.5" customHeight="1" x14ac:dyDescent="0.3">
      <c r="A52" s="27"/>
      <c r="B52" s="60" t="s">
        <v>7</v>
      </c>
      <c r="C52" s="60"/>
      <c r="D52" s="61" t="s">
        <v>8</v>
      </c>
      <c r="E52" s="62"/>
      <c r="F52" s="61" t="s">
        <v>9</v>
      </c>
    </row>
    <row r="53" spans="1:6" ht="34.5" customHeight="1" x14ac:dyDescent="0.3">
      <c r="A53" s="29" t="s">
        <v>10</v>
      </c>
      <c r="B53" s="63"/>
      <c r="C53" s="27"/>
      <c r="D53" s="63"/>
      <c r="E53" s="27"/>
      <c r="F53" s="63"/>
    </row>
    <row r="54" spans="1:6" ht="34.5" customHeight="1" x14ac:dyDescent="0.3">
      <c r="A54" s="29" t="s">
        <v>11</v>
      </c>
      <c r="B54" s="64"/>
      <c r="C54" s="65"/>
      <c r="D54" s="64"/>
      <c r="E54" s="27"/>
      <c r="F54" s="6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trimethoprim</vt:lpstr>
      <vt:lpstr>sulfamethoxazole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2017-03-15T07:38:54Z</cp:lastPrinted>
  <dcterms:created xsi:type="dcterms:W3CDTF">2005-07-05T10:19:27Z</dcterms:created>
  <dcterms:modified xsi:type="dcterms:W3CDTF">2017-03-15T07:42:46Z</dcterms:modified>
</cp:coreProperties>
</file>