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10" yWindow="495" windowWidth="23640" windowHeight="11685" activeTab="2"/>
  </bookViews>
  <sheets>
    <sheet name="Uniformity" sheetId="8" r:id="rId1"/>
    <sheet name="trimethoprim" sheetId="3" r:id="rId2"/>
    <sheet name="sulfamethoxazole" sheetId="4" r:id="rId3"/>
  </sheets>
  <definedNames>
    <definedName name="_xlnm.Print_Area" localSheetId="2">sulfamethoxazole!$A$1:$I$130</definedName>
    <definedName name="_xlnm.Print_Area" localSheetId="1">trimethoprim!$A$1:$I$130</definedName>
    <definedName name="_xlnm.Print_Area" localSheetId="0">Uniformity!$A$1:$F$54</definedName>
  </definedNames>
  <calcPr calcId="144525"/>
</workbook>
</file>

<file path=xl/calcChain.xml><?xml version="1.0" encoding="utf-8"?>
<calcChain xmlns="http://schemas.openxmlformats.org/spreadsheetml/2006/main">
  <c r="B57" i="3" l="1"/>
  <c r="C49" i="8"/>
  <c r="B49" i="8"/>
  <c r="C46" i="8"/>
  <c r="D50" i="8" s="1"/>
  <c r="C45" i="8"/>
  <c r="D43" i="8"/>
  <c r="D39" i="8"/>
  <c r="D38" i="8"/>
  <c r="D37" i="8"/>
  <c r="D36" i="8"/>
  <c r="D35" i="8"/>
  <c r="D31" i="8"/>
  <c r="D30" i="8"/>
  <c r="D29" i="8"/>
  <c r="D28" i="8"/>
  <c r="D27" i="8"/>
  <c r="C19" i="8"/>
  <c r="B57" i="4"/>
  <c r="D68" i="4"/>
  <c r="D64" i="4"/>
  <c r="D60" i="4"/>
  <c r="B19" i="4"/>
  <c r="F96" i="4"/>
  <c r="D96" i="4"/>
  <c r="F96" i="3"/>
  <c r="D96" i="3"/>
  <c r="C124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F44" i="4" s="1"/>
  <c r="B30" i="4"/>
  <c r="C124" i="3"/>
  <c r="B116" i="3"/>
  <c r="D100" i="3" s="1"/>
  <c r="B98" i="3"/>
  <c r="F95" i="3"/>
  <c r="D95" i="3"/>
  <c r="B87" i="3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B30" i="3"/>
  <c r="D32" i="8" l="1"/>
  <c r="D49" i="8"/>
  <c r="D25" i="8"/>
  <c r="D33" i="8"/>
  <c r="D41" i="8"/>
  <c r="C50" i="8"/>
  <c r="D24" i="8"/>
  <c r="D40" i="8"/>
  <c r="D26" i="8"/>
  <c r="D34" i="8"/>
  <c r="D42" i="8"/>
  <c r="B69" i="3"/>
  <c r="B69" i="4"/>
  <c r="I92" i="4"/>
  <c r="D101" i="4"/>
  <c r="D102" i="4" s="1"/>
  <c r="D97" i="4"/>
  <c r="D98" i="4" s="1"/>
  <c r="D99" i="4" s="1"/>
  <c r="D101" i="3"/>
  <c r="F97" i="3"/>
  <c r="I92" i="3"/>
  <c r="D97" i="3"/>
  <c r="D98" i="3" s="1"/>
  <c r="F98" i="4"/>
  <c r="F99" i="4" s="1"/>
  <c r="F45" i="4"/>
  <c r="G40" i="4" s="1"/>
  <c r="I39" i="4"/>
  <c r="I39" i="3"/>
  <c r="D49" i="3"/>
  <c r="D44" i="3"/>
  <c r="F44" i="3"/>
  <c r="F45" i="3"/>
  <c r="G41" i="3" s="1"/>
  <c r="F98" i="3"/>
  <c r="F99" i="3" s="1"/>
  <c r="D45" i="3"/>
  <c r="E39" i="3" s="1"/>
  <c r="G39" i="4"/>
  <c r="G94" i="3"/>
  <c r="D102" i="3"/>
  <c r="G91" i="4"/>
  <c r="E92" i="4"/>
  <c r="G94" i="4"/>
  <c r="E94" i="4"/>
  <c r="G93" i="4"/>
  <c r="E41" i="4"/>
  <c r="G41" i="4"/>
  <c r="D44" i="4"/>
  <c r="D45" i="4" s="1"/>
  <c r="D46" i="4" s="1"/>
  <c r="D49" i="4"/>
  <c r="G92" i="3" l="1"/>
  <c r="D99" i="3"/>
  <c r="E92" i="3"/>
  <c r="E91" i="3"/>
  <c r="E94" i="3"/>
  <c r="E93" i="3"/>
  <c r="G93" i="3"/>
  <c r="G91" i="3"/>
  <c r="G38" i="4"/>
  <c r="G42" i="4" s="1"/>
  <c r="E91" i="4"/>
  <c r="G92" i="4"/>
  <c r="G95" i="4" s="1"/>
  <c r="E93" i="4"/>
  <c r="F46" i="4"/>
  <c r="E39" i="4"/>
  <c r="G40" i="3"/>
  <c r="E41" i="3"/>
  <c r="D46" i="3"/>
  <c r="G38" i="3"/>
  <c r="E40" i="3"/>
  <c r="G39" i="3"/>
  <c r="E38" i="3"/>
  <c r="F46" i="3"/>
  <c r="E40" i="4"/>
  <c r="E38" i="4"/>
  <c r="G95" i="3" l="1"/>
  <c r="D105" i="3"/>
  <c r="D103" i="3"/>
  <c r="E110" i="3" s="1"/>
  <c r="F110" i="3" s="1"/>
  <c r="E95" i="3"/>
  <c r="E95" i="4"/>
  <c r="D103" i="4"/>
  <c r="E112" i="4" s="1"/>
  <c r="F112" i="4" s="1"/>
  <c r="D105" i="4"/>
  <c r="D52" i="3"/>
  <c r="G42" i="3"/>
  <c r="E42" i="3"/>
  <c r="D50" i="3"/>
  <c r="G71" i="3" s="1"/>
  <c r="H71" i="3" s="1"/>
  <c r="G69" i="3"/>
  <c r="H69" i="3" s="1"/>
  <c r="G66" i="3"/>
  <c r="H66" i="3" s="1"/>
  <c r="D50" i="4"/>
  <c r="E42" i="4"/>
  <c r="D52" i="4"/>
  <c r="E108" i="3"/>
  <c r="E113" i="3"/>
  <c r="F113" i="3" s="1"/>
  <c r="E109" i="3"/>
  <c r="F109" i="3" s="1"/>
  <c r="E111" i="3"/>
  <c r="F111" i="3" s="1"/>
  <c r="D104" i="4" l="1"/>
  <c r="E109" i="4"/>
  <c r="F109" i="4" s="1"/>
  <c r="D104" i="3"/>
  <c r="E112" i="3"/>
  <c r="F112" i="3" s="1"/>
  <c r="E113" i="4"/>
  <c r="F113" i="4" s="1"/>
  <c r="E110" i="4"/>
  <c r="F110" i="4" s="1"/>
  <c r="E111" i="4"/>
  <c r="F111" i="4" s="1"/>
  <c r="E108" i="4"/>
  <c r="G67" i="3"/>
  <c r="H67" i="3" s="1"/>
  <c r="G70" i="3"/>
  <c r="H70" i="3" s="1"/>
  <c r="G60" i="3"/>
  <c r="H60" i="3" s="1"/>
  <c r="D51" i="3"/>
  <c r="G68" i="3"/>
  <c r="H68" i="3" s="1"/>
  <c r="G61" i="3"/>
  <c r="H61" i="3" s="1"/>
  <c r="G63" i="3"/>
  <c r="H63" i="3" s="1"/>
  <c r="G62" i="3"/>
  <c r="H62" i="3" s="1"/>
  <c r="G64" i="3"/>
  <c r="H64" i="3" s="1"/>
  <c r="G65" i="3"/>
  <c r="H65" i="3" s="1"/>
  <c r="F108" i="3"/>
  <c r="G65" i="4"/>
  <c r="H65" i="4" s="1"/>
  <c r="G61" i="4"/>
  <c r="H61" i="4" s="1"/>
  <c r="G64" i="4"/>
  <c r="H64" i="4" s="1"/>
  <c r="G60" i="4"/>
  <c r="G68" i="4"/>
  <c r="H68" i="4" s="1"/>
  <c r="G71" i="4"/>
  <c r="H71" i="4" s="1"/>
  <c r="G70" i="4"/>
  <c r="H70" i="4" s="1"/>
  <c r="G67" i="4"/>
  <c r="H67" i="4" s="1"/>
  <c r="G63" i="4"/>
  <c r="H63" i="4" s="1"/>
  <c r="G69" i="4"/>
  <c r="H69" i="4" s="1"/>
  <c r="G66" i="4"/>
  <c r="H66" i="4" s="1"/>
  <c r="G62" i="4"/>
  <c r="H62" i="4" s="1"/>
  <c r="D51" i="4"/>
  <c r="E115" i="3" l="1"/>
  <c r="E116" i="3" s="1"/>
  <c r="E120" i="3"/>
  <c r="E119" i="4"/>
  <c r="E117" i="3"/>
  <c r="E119" i="3"/>
  <c r="E115" i="4"/>
  <c r="E116" i="4" s="1"/>
  <c r="E117" i="4"/>
  <c r="E120" i="4"/>
  <c r="F108" i="4"/>
  <c r="D125" i="4" s="1"/>
  <c r="G74" i="3"/>
  <c r="G72" i="3"/>
  <c r="G73" i="3" s="1"/>
  <c r="H72" i="3"/>
  <c r="H74" i="3"/>
  <c r="G72" i="4"/>
  <c r="G73" i="4" s="1"/>
  <c r="H60" i="4"/>
  <c r="G74" i="4"/>
  <c r="F125" i="3"/>
  <c r="F117" i="3"/>
  <c r="D125" i="3"/>
  <c r="F120" i="3"/>
  <c r="F115" i="3"/>
  <c r="F119" i="3"/>
  <c r="F117" i="4" l="1"/>
  <c r="F120" i="4"/>
  <c r="F119" i="4"/>
  <c r="F115" i="4"/>
  <c r="G124" i="4" s="1"/>
  <c r="F125" i="4"/>
  <c r="H73" i="3"/>
  <c r="G76" i="3"/>
  <c r="F116" i="3"/>
  <c r="G124" i="3"/>
  <c r="H74" i="4"/>
  <c r="H72" i="4"/>
  <c r="F116" i="4" l="1"/>
  <c r="G76" i="4"/>
  <c r="H73" i="4"/>
</calcChain>
</file>

<file path=xl/sharedStrings.xml><?xml version="1.0" encoding="utf-8"?>
<sst xmlns="http://schemas.openxmlformats.org/spreadsheetml/2006/main" count="357" uniqueCount="120">
  <si>
    <t>Analysis Data</t>
  </si>
  <si>
    <t>Reference Substance:</t>
  </si>
  <si>
    <t>CO-TRIMOXAZOLE TABLETS</t>
  </si>
  <si>
    <t>% age Purity:</t>
  </si>
  <si>
    <t>Sulfamethoxazole BP 800 MG &amp; Trimethoprim BP 160 MG</t>
  </si>
  <si>
    <t>Each tablet contains Sulfamethoxazole 800 mg and Trimethoprim 160 mg</t>
  </si>
  <si>
    <t>n: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</si>
  <si>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</si>
  <si>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</si>
  <si>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</si>
  <si>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</si>
  <si>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</si>
  <si>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</si>
  <si>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</si>
  <si>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</si>
  <si>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</si>
  <si>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</si>
  <si>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</si>
  <si>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</si>
  <si>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</si>
  <si>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</si>
  <si>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</si>
  <si>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</si>
  <si>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</si>
  <si>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</si>
  <si>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</si>
  <si>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</si>
  <si>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</si>
  <si>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</si>
  <si>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</si>
  <si>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</si>
  <si>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</si>
  <si>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</si>
  <si>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</si>
  <si>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</si>
  <si>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</si>
  <si>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</si>
  <si>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</si>
  <si>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</si>
  <si>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</si>
  <si>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</si>
  <si>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</si>
  <si>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</si>
  <si>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</si>
  <si>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</si>
  <si>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</si>
  <si>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</si>
  <si>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</si>
  <si>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</si>
  <si>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</si>
  <si>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</si>
  <si>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</si>
  <si>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</si>
  <si>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</si>
  <si>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</si>
  <si>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</si>
  <si>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</si>
  <si>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</si>
  <si>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</si>
  <si>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</si>
  <si>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</si>
  <si>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</si>
  <si>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</si>
  <si>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</si>
  <si>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</si>
  <si>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</si>
  <si>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</si>
  <si>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</si>
  <si>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</si>
  <si>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</si>
  <si>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</si>
  <si>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</si>
  <si>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</si>
  <si>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</si>
  <si>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</si>
  <si>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</si>
  <si>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</si>
  <si>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</si>
  <si>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</si>
  <si>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</si>
  <si>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</si>
  <si>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</si>
  <si>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</si>
  <si>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</si>
  <si>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</si>
  <si>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</si>
  <si>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</si>
  <si>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</si>
  <si>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</si>
  <si>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</si>
  <si>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</si>
  <si>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</si>
  <si>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</si>
  <si>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</si>
  <si>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</si>
  <si>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</si>
  <si>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</si>
  <si>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</si>
  <si>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</si>
  <si>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</si>
  <si>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</si>
  <si>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</si>
  <si>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</si>
  <si>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</si>
  <si>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</si>
  <si>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</si>
  <si>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</si>
  <si>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</si>
  <si>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</si>
  <si>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</si>
  <si>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</si>
  <si>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</si>
  <si>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Trimethoprim</t>
  </si>
  <si>
    <t>T7 4</t>
  </si>
  <si>
    <t>NDQE201607028</t>
  </si>
  <si>
    <t>Sulfamethoxazole</t>
  </si>
  <si>
    <t>Each tablet contains  Trimethoprim 160 mg</t>
  </si>
  <si>
    <t>Trimethoprim BP</t>
  </si>
  <si>
    <t>NDQB201701331</t>
  </si>
  <si>
    <t>2017-01-26 07:33:43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</si>
</sst>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5">
    <xf numFmtId="0" fontId="0" fillId="0" borderId="0"/>
    <xf numFmtId="0" fontId="24" fillId="2" borderId="0"/>
    <xf numFmtId="0" fontId="24" fillId="2" borderId="0"/>
    <xf numFmtId="0" fontId="24" fillId="2" borderId="0"/>
    <xf numFmtId="0" fontId="24" fillId="2" borderId="0"/>
  </cellStyleXfs>
  <cellXfs count="468">
    <xf numFmtId="0" fontId="0" fillId="2" borderId="0" xfId="0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7" xfId="0" applyFont="1" applyFill="1" applyBorder="1" applyAlignment="1">
      <alignment horizontal="right"/>
    </xf>
    <xf numFmtId="0" fontId="12" fillId="3" borderId="18" xfId="0" applyFont="1" applyFill="1" applyBorder="1" applyAlignment="1" applyProtection="1">
      <alignment horizontal="center"/>
      <protection locked="0"/>
    </xf>
    <xf numFmtId="0" fontId="11" fillId="2" borderId="16" xfId="0" applyFont="1" applyFill="1" applyBorder="1" applyAlignment="1">
      <alignment horizontal="center"/>
    </xf>
    <xf numFmtId="0" fontId="11" fillId="2" borderId="19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1" fillId="2" borderId="21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20" xfId="0" applyNumberFormat="1" applyFont="1" applyFill="1" applyBorder="1" applyAlignment="1">
      <alignment horizontal="center"/>
    </xf>
    <xf numFmtId="171" fontId="10" fillId="2" borderId="24" xfId="0" applyNumberFormat="1" applyFont="1" applyFill="1" applyBorder="1" applyAlignment="1">
      <alignment horizontal="center"/>
    </xf>
    <xf numFmtId="0" fontId="17" fillId="2" borderId="7" xfId="0" applyFont="1" applyFill="1" applyBorder="1"/>
    <xf numFmtId="0" fontId="10" fillId="2" borderId="18" xfId="0" applyFont="1" applyFill="1" applyBorder="1" applyAlignment="1">
      <alignment horizontal="center"/>
    </xf>
    <xf numFmtId="0" fontId="12" fillId="3" borderId="17" xfId="0" applyFont="1" applyFill="1" applyBorder="1" applyAlignment="1" applyProtection="1">
      <alignment horizontal="center"/>
      <protection locked="0"/>
    </xf>
    <xf numFmtId="171" fontId="10" fillId="2" borderId="25" xfId="0" applyNumberFormat="1" applyFont="1" applyFill="1" applyBorder="1" applyAlignment="1">
      <alignment horizontal="center"/>
    </xf>
    <xf numFmtId="171" fontId="10" fillId="2" borderId="26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27" xfId="0" applyFont="1" applyFill="1" applyBorder="1" applyAlignment="1">
      <alignment horizontal="center"/>
    </xf>
    <xf numFmtId="0" fontId="12" fillId="3" borderId="28" xfId="0" applyFont="1" applyFill="1" applyBorder="1" applyAlignment="1" applyProtection="1">
      <alignment horizontal="center"/>
      <protection locked="0"/>
    </xf>
    <xf numFmtId="171" fontId="10" fillId="2" borderId="29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0" fillId="2" borderId="9" xfId="0" applyFont="1" applyFill="1" applyBorder="1"/>
    <xf numFmtId="0" fontId="10" fillId="2" borderId="18" xfId="0" applyFont="1" applyFill="1" applyBorder="1" applyAlignment="1">
      <alignment horizontal="right"/>
    </xf>
    <xf numFmtId="1" fontId="11" fillId="4" borderId="31" xfId="0" applyNumberFormat="1" applyFont="1" applyFill="1" applyBorder="1" applyAlignment="1">
      <alignment horizontal="center"/>
    </xf>
    <xf numFmtId="171" fontId="11" fillId="4" borderId="32" xfId="0" applyNumberFormat="1" applyFont="1" applyFill="1" applyBorder="1" applyAlignment="1">
      <alignment horizontal="center"/>
    </xf>
    <xf numFmtId="171" fontId="11" fillId="4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34" xfId="0" applyFont="1" applyFill="1" applyBorder="1" applyAlignment="1">
      <alignment horizontal="right"/>
    </xf>
    <xf numFmtId="0" fontId="12" fillId="3" borderId="10" xfId="0" applyFont="1" applyFill="1" applyBorder="1" applyAlignment="1" applyProtection="1">
      <alignment horizontal="center"/>
      <protection locked="0"/>
    </xf>
    <xf numFmtId="0" fontId="10" fillId="2" borderId="5" xfId="0" applyFont="1" applyFill="1" applyBorder="1" applyAlignment="1">
      <alignment horizontal="right"/>
    </xf>
    <xf numFmtId="2" fontId="10" fillId="4" borderId="35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/>
    </xf>
    <xf numFmtId="2" fontId="10" fillId="5" borderId="35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4" borderId="35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4" borderId="11" xfId="0" applyNumberFormat="1" applyFont="1" applyFill="1" applyBorder="1" applyAlignment="1">
      <alignment horizontal="center"/>
    </xf>
    <xf numFmtId="0" fontId="10" fillId="2" borderId="36" xfId="0" applyFont="1" applyFill="1" applyBorder="1" applyAlignment="1">
      <alignment horizontal="right"/>
    </xf>
    <xf numFmtId="166" fontId="12" fillId="3" borderId="35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3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9" xfId="0" applyFont="1" applyFill="1" applyBorder="1" applyAlignment="1">
      <alignment horizontal="right"/>
    </xf>
    <xf numFmtId="2" fontId="10" fillId="4" borderId="9" xfId="0" applyNumberFormat="1" applyFont="1" applyFill="1" applyBorder="1" applyAlignment="1">
      <alignment horizontal="center"/>
    </xf>
    <xf numFmtId="171" fontId="11" fillId="5" borderId="7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4" borderId="35" xfId="0" applyNumberFormat="1" applyFont="1" applyFill="1" applyBorder="1" applyAlignment="1">
      <alignment horizontal="center"/>
    </xf>
    <xf numFmtId="0" fontId="10" fillId="2" borderId="37" xfId="0" applyFont="1" applyFill="1" applyBorder="1" applyAlignment="1">
      <alignment horizontal="right"/>
    </xf>
    <xf numFmtId="0" fontId="10" fillId="5" borderId="9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7" xfId="0" applyNumberFormat="1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2" fillId="3" borderId="15" xfId="0" applyFont="1" applyFill="1" applyBorder="1" applyAlignment="1" applyProtection="1">
      <alignment horizontal="center"/>
      <protection locked="0"/>
    </xf>
    <xf numFmtId="0" fontId="10" fillId="2" borderId="8" xfId="0" applyFont="1" applyFill="1" applyBorder="1" applyAlignment="1">
      <alignment horizontal="center"/>
    </xf>
    <xf numFmtId="1" fontId="12" fillId="3" borderId="17" xfId="0" applyNumberFormat="1" applyFont="1" applyFill="1" applyBorder="1" applyAlignment="1" applyProtection="1">
      <alignment horizontal="center"/>
      <protection locked="0"/>
    </xf>
    <xf numFmtId="0" fontId="10" fillId="2" borderId="9" xfId="0" applyFont="1" applyFill="1" applyBorder="1" applyAlignment="1">
      <alignment horizontal="center"/>
    </xf>
    <xf numFmtId="0" fontId="12" fillId="3" borderId="37" xfId="0" applyFont="1" applyFill="1" applyBorder="1" applyAlignment="1" applyProtection="1">
      <alignment horizontal="center"/>
      <protection locked="0"/>
    </xf>
    <xf numFmtId="0" fontId="13" fillId="2" borderId="18" xfId="0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39" xfId="0" applyFont="1" applyFill="1" applyBorder="1" applyAlignment="1">
      <alignment horizontal="right"/>
    </xf>
    <xf numFmtId="0" fontId="10" fillId="2" borderId="35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1" xfId="0" applyFont="1" applyFill="1" applyBorder="1" applyAlignment="1">
      <alignment horizontal="right"/>
    </xf>
    <xf numFmtId="0" fontId="12" fillId="5" borderId="40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1" xfId="0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2" borderId="24" xfId="0" applyFont="1" applyFill="1" applyBorder="1" applyAlignment="1">
      <alignment horizontal="center"/>
    </xf>
    <xf numFmtId="0" fontId="10" fillId="2" borderId="4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1" fontId="11" fillId="4" borderId="43" xfId="0" applyNumberFormat="1" applyFont="1" applyFill="1" applyBorder="1" applyAlignment="1">
      <alignment horizontal="center"/>
    </xf>
    <xf numFmtId="1" fontId="11" fillId="4" borderId="44" xfId="0" applyNumberFormat="1" applyFont="1" applyFill="1" applyBorder="1" applyAlignment="1">
      <alignment horizontal="center"/>
    </xf>
    <xf numFmtId="171" fontId="11" fillId="4" borderId="9" xfId="0" applyNumberFormat="1" applyFont="1" applyFill="1" applyBorder="1" applyAlignment="1">
      <alignment horizontal="center"/>
    </xf>
    <xf numFmtId="0" fontId="10" fillId="2" borderId="45" xfId="0" applyFont="1" applyFill="1" applyBorder="1" applyAlignment="1">
      <alignment horizontal="right"/>
    </xf>
    <xf numFmtId="0" fontId="12" fillId="3" borderId="46" xfId="0" applyFont="1" applyFill="1" applyBorder="1" applyAlignment="1" applyProtection="1">
      <alignment horizontal="center"/>
      <protection locked="0"/>
    </xf>
    <xf numFmtId="0" fontId="10" fillId="2" borderId="19" xfId="0" applyFont="1" applyFill="1" applyBorder="1" applyAlignment="1">
      <alignment horizontal="right"/>
    </xf>
    <xf numFmtId="2" fontId="10" fillId="4" borderId="2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5" borderId="21" xfId="0" applyNumberFormat="1" applyFont="1" applyFill="1" applyBorder="1" applyAlignment="1">
      <alignment horizontal="center"/>
    </xf>
    <xf numFmtId="166" fontId="10" fillId="4" borderId="21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5" borderId="21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47" xfId="0" applyFont="1" applyFill="1" applyBorder="1" applyAlignment="1">
      <alignment horizontal="right"/>
    </xf>
    <xf numFmtId="2" fontId="10" fillId="5" borderId="2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0" xfId="0" applyFont="1" applyFill="1" applyBorder="1" applyAlignment="1">
      <alignment horizontal="right"/>
    </xf>
    <xf numFmtId="171" fontId="11" fillId="5" borderId="10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4" borderId="35" xfId="0" applyNumberFormat="1" applyFont="1" applyFill="1" applyBorder="1" applyAlignment="1">
      <alignment horizontal="center"/>
    </xf>
    <xf numFmtId="0" fontId="11" fillId="5" borderId="11" xfId="0" applyFont="1" applyFill="1" applyBorder="1" applyAlignment="1">
      <alignment horizontal="center"/>
    </xf>
    <xf numFmtId="0" fontId="11" fillId="2" borderId="16" xfId="0" applyFont="1" applyFill="1" applyBorder="1" applyAlignment="1">
      <alignment horizontal="center" wrapText="1"/>
    </xf>
    <xf numFmtId="0" fontId="10" fillId="2" borderId="17" xfId="0" applyFont="1" applyFill="1" applyBorder="1" applyAlignment="1">
      <alignment horizontal="center"/>
    </xf>
    <xf numFmtId="0" fontId="10" fillId="2" borderId="17" xfId="0" applyFont="1" applyFill="1" applyBorder="1"/>
    <xf numFmtId="10" fontId="12" fillId="4" borderId="21" xfId="0" applyNumberFormat="1" applyFont="1" applyFill="1" applyBorder="1" applyAlignment="1">
      <alignment horizontal="center"/>
    </xf>
    <xf numFmtId="0" fontId="10" fillId="2" borderId="37" xfId="0" applyFont="1" applyFill="1" applyBorder="1"/>
    <xf numFmtId="0" fontId="18" fillId="2" borderId="3" xfId="0" applyFont="1" applyFill="1" applyBorder="1" applyAlignment="1">
      <alignment horizontal="left" vertical="center" wrapText="1"/>
    </xf>
    <xf numFmtId="0" fontId="10" fillId="2" borderId="3" xfId="0" applyFont="1" applyFill="1" applyBorder="1"/>
    <xf numFmtId="0" fontId="10" fillId="2" borderId="4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2" xfId="0" applyFont="1" applyFill="1" applyBorder="1"/>
    <xf numFmtId="0" fontId="10" fillId="2" borderId="2" xfId="0" applyFont="1" applyFill="1" applyBorder="1"/>
    <xf numFmtId="0" fontId="11" fillId="2" borderId="5" xfId="0" applyFont="1" applyFill="1" applyBorder="1"/>
    <xf numFmtId="0" fontId="10" fillId="2" borderId="5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15" xfId="0" applyNumberFormat="1" applyFont="1" applyFill="1" applyBorder="1" applyAlignment="1">
      <alignment horizontal="center"/>
    </xf>
    <xf numFmtId="166" fontId="10" fillId="2" borderId="17" xfId="0" applyNumberFormat="1" applyFont="1" applyFill="1" applyBorder="1" applyAlignment="1">
      <alignment horizontal="center"/>
    </xf>
    <xf numFmtId="166" fontId="10" fillId="2" borderId="7" xfId="0" applyNumberFormat="1" applyFont="1" applyFill="1" applyBorder="1" applyAlignment="1">
      <alignment horizontal="center"/>
    </xf>
    <xf numFmtId="166" fontId="10" fillId="2" borderId="8" xfId="0" applyNumberFormat="1" applyFont="1" applyFill="1" applyBorder="1" applyAlignment="1">
      <alignment horizontal="center"/>
    </xf>
    <xf numFmtId="166" fontId="10" fillId="2" borderId="9" xfId="0" applyNumberFormat="1" applyFont="1" applyFill="1" applyBorder="1" applyAlignment="1">
      <alignment horizontal="center"/>
    </xf>
    <xf numFmtId="10" fontId="12" fillId="4" borderId="48" xfId="0" applyNumberFormat="1" applyFont="1" applyFill="1" applyBorder="1" applyAlignment="1">
      <alignment horizontal="center"/>
    </xf>
    <xf numFmtId="2" fontId="12" fillId="5" borderId="27" xfId="0" applyNumberFormat="1" applyFont="1" applyFill="1" applyBorder="1" applyAlignment="1">
      <alignment horizontal="center"/>
    </xf>
    <xf numFmtId="0" fontId="13" fillId="2" borderId="0" xfId="0" applyFont="1" applyFill="1"/>
    <xf numFmtId="10" fontId="12" fillId="4" borderId="48" xfId="0" applyNumberFormat="1" applyFont="1" applyFill="1" applyBorder="1" applyAlignment="1">
      <alignment horizontal="center"/>
    </xf>
    <xf numFmtId="171" fontId="10" fillId="2" borderId="10" xfId="0" applyNumberFormat="1" applyFont="1" applyFill="1" applyBorder="1" applyAlignment="1">
      <alignment horizontal="right"/>
    </xf>
    <xf numFmtId="0" fontId="10" fillId="2" borderId="8" xfId="0" applyFont="1" applyFill="1" applyBorder="1" applyAlignment="1">
      <alignment horizontal="right"/>
    </xf>
    <xf numFmtId="2" fontId="12" fillId="5" borderId="49" xfId="0" applyNumberFormat="1" applyFont="1" applyFill="1" applyBorder="1" applyAlignment="1">
      <alignment horizontal="center"/>
    </xf>
    <xf numFmtId="0" fontId="10" fillId="2" borderId="7" xfId="0" applyFont="1" applyFill="1" applyBorder="1"/>
    <xf numFmtId="0" fontId="12" fillId="5" borderId="22" xfId="0" applyFont="1" applyFill="1" applyBorder="1" applyAlignment="1">
      <alignment horizontal="center"/>
    </xf>
    <xf numFmtId="0" fontId="12" fillId="5" borderId="50" xfId="0" applyFont="1" applyFill="1" applyBorder="1" applyAlignment="1">
      <alignment horizontal="center"/>
    </xf>
    <xf numFmtId="2" fontId="12" fillId="4" borderId="48" xfId="0" applyNumberFormat="1" applyFont="1" applyFill="1" applyBorder="1" applyAlignment="1">
      <alignment horizontal="center"/>
    </xf>
    <xf numFmtId="2" fontId="12" fillId="5" borderId="40" xfId="0" applyNumberFormat="1" applyFont="1" applyFill="1" applyBorder="1" applyAlignment="1">
      <alignment horizontal="center"/>
    </xf>
    <xf numFmtId="166" fontId="10" fillId="2" borderId="37" xfId="0" applyNumberFormat="1" applyFont="1" applyFill="1" applyBorder="1" applyAlignment="1">
      <alignment horizontal="center"/>
    </xf>
    <xf numFmtId="173" fontId="10" fillId="2" borderId="7" xfId="0" applyNumberFormat="1" applyFont="1" applyFill="1" applyBorder="1" applyAlignment="1">
      <alignment horizontal="center" vertical="center"/>
    </xf>
    <xf numFmtId="173" fontId="10" fillId="2" borderId="8" xfId="0" applyNumberFormat="1" applyFont="1" applyFill="1" applyBorder="1" applyAlignment="1">
      <alignment horizontal="center" vertical="center"/>
    </xf>
    <xf numFmtId="173" fontId="10" fillId="2" borderId="9" xfId="0" applyNumberFormat="1" applyFont="1" applyFill="1" applyBorder="1" applyAlignment="1">
      <alignment horizontal="center" vertical="center"/>
    </xf>
    <xf numFmtId="173" fontId="12" fillId="5" borderId="27" xfId="0" applyNumberFormat="1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1" fontId="12" fillId="3" borderId="8" xfId="0" applyNumberFormat="1" applyFont="1" applyFill="1" applyBorder="1" applyAlignment="1" applyProtection="1">
      <alignment horizontal="center"/>
      <protection locked="0"/>
    </xf>
    <xf numFmtId="1" fontId="12" fillId="3" borderId="9" xfId="0" applyNumberFormat="1" applyFont="1" applyFill="1" applyBorder="1" applyAlignment="1" applyProtection="1">
      <alignment horizontal="center"/>
      <protection locked="0"/>
    </xf>
    <xf numFmtId="0" fontId="10" fillId="2" borderId="7" xfId="0" applyFont="1" applyFill="1" applyBorder="1" applyAlignment="1">
      <alignment horizontal="center"/>
    </xf>
    <xf numFmtId="1" fontId="12" fillId="3" borderId="7" xfId="0" applyNumberFormat="1" applyFont="1" applyFill="1" applyBorder="1" applyAlignment="1" applyProtection="1">
      <alignment horizontal="center"/>
      <protection locked="0"/>
    </xf>
    <xf numFmtId="173" fontId="10" fillId="2" borderId="16" xfId="0" applyNumberFormat="1" applyFont="1" applyFill="1" applyBorder="1" applyAlignment="1">
      <alignment horizontal="center"/>
    </xf>
    <xf numFmtId="173" fontId="10" fillId="2" borderId="18" xfId="0" applyNumberFormat="1" applyFont="1" applyFill="1" applyBorder="1" applyAlignment="1">
      <alignment horizontal="center"/>
    </xf>
    <xf numFmtId="173" fontId="10" fillId="2" borderId="38" xfId="0" applyNumberFormat="1" applyFont="1" applyFill="1" applyBorder="1" applyAlignment="1">
      <alignment horizontal="center"/>
    </xf>
    <xf numFmtId="173" fontId="10" fillId="2" borderId="18" xfId="0" applyNumberFormat="1" applyFont="1" applyFill="1" applyBorder="1" applyAlignment="1">
      <alignment horizontal="center"/>
    </xf>
    <xf numFmtId="174" fontId="12" fillId="5" borderId="46" xfId="0" applyNumberFormat="1" applyFont="1" applyFill="1" applyBorder="1" applyAlignment="1">
      <alignment horizontal="center"/>
    </xf>
    <xf numFmtId="174" fontId="12" fillId="4" borderId="48" xfId="0" applyNumberFormat="1" applyFont="1" applyFill="1" applyBorder="1" applyAlignment="1">
      <alignment horizontal="center"/>
    </xf>
    <xf numFmtId="174" fontId="12" fillId="5" borderId="40" xfId="0" applyNumberFormat="1" applyFont="1" applyFill="1" applyBorder="1" applyAlignment="1">
      <alignment horizontal="center"/>
    </xf>
    <xf numFmtId="175" fontId="22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7" xfId="0" applyFont="1" applyFill="1" applyBorder="1" applyAlignment="1">
      <alignment horizontal="right"/>
    </xf>
    <xf numFmtId="0" fontId="12" fillId="3" borderId="18" xfId="0" applyFont="1" applyFill="1" applyBorder="1" applyAlignment="1" applyProtection="1">
      <alignment horizontal="center"/>
      <protection locked="0"/>
    </xf>
    <xf numFmtId="0" fontId="11" fillId="2" borderId="16" xfId="0" applyFont="1" applyFill="1" applyBorder="1" applyAlignment="1">
      <alignment horizontal="center"/>
    </xf>
    <xf numFmtId="0" fontId="11" fillId="2" borderId="19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1" fillId="2" borderId="21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20" xfId="0" applyNumberFormat="1" applyFont="1" applyFill="1" applyBorder="1" applyAlignment="1">
      <alignment horizontal="center"/>
    </xf>
    <xf numFmtId="171" fontId="10" fillId="2" borderId="24" xfId="0" applyNumberFormat="1" applyFont="1" applyFill="1" applyBorder="1" applyAlignment="1">
      <alignment horizontal="center"/>
    </xf>
    <xf numFmtId="0" fontId="17" fillId="2" borderId="7" xfId="0" applyFont="1" applyFill="1" applyBorder="1"/>
    <xf numFmtId="0" fontId="10" fillId="2" borderId="18" xfId="0" applyFont="1" applyFill="1" applyBorder="1" applyAlignment="1">
      <alignment horizontal="center"/>
    </xf>
    <xf numFmtId="0" fontId="12" fillId="3" borderId="17" xfId="0" applyFont="1" applyFill="1" applyBorder="1" applyAlignment="1" applyProtection="1">
      <alignment horizontal="center"/>
      <protection locked="0"/>
    </xf>
    <xf numFmtId="171" fontId="10" fillId="2" borderId="25" xfId="0" applyNumberFormat="1" applyFont="1" applyFill="1" applyBorder="1" applyAlignment="1">
      <alignment horizontal="center"/>
    </xf>
    <xf numFmtId="171" fontId="10" fillId="2" borderId="26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27" xfId="0" applyFont="1" applyFill="1" applyBorder="1" applyAlignment="1">
      <alignment horizontal="center"/>
    </xf>
    <xf numFmtId="0" fontId="12" fillId="3" borderId="28" xfId="0" applyFont="1" applyFill="1" applyBorder="1" applyAlignment="1" applyProtection="1">
      <alignment horizontal="center"/>
      <protection locked="0"/>
    </xf>
    <xf numFmtId="171" fontId="10" fillId="2" borderId="29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0" fillId="2" borderId="9" xfId="0" applyFont="1" applyFill="1" applyBorder="1"/>
    <xf numFmtId="0" fontId="10" fillId="2" borderId="18" xfId="0" applyFont="1" applyFill="1" applyBorder="1" applyAlignment="1">
      <alignment horizontal="right"/>
    </xf>
    <xf numFmtId="1" fontId="11" fillId="4" borderId="31" xfId="0" applyNumberFormat="1" applyFont="1" applyFill="1" applyBorder="1" applyAlignment="1">
      <alignment horizontal="center"/>
    </xf>
    <xf numFmtId="171" fontId="11" fillId="4" borderId="32" xfId="0" applyNumberFormat="1" applyFont="1" applyFill="1" applyBorder="1" applyAlignment="1">
      <alignment horizontal="center"/>
    </xf>
    <xf numFmtId="171" fontId="11" fillId="4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34" xfId="0" applyFont="1" applyFill="1" applyBorder="1" applyAlignment="1">
      <alignment horizontal="right"/>
    </xf>
    <xf numFmtId="0" fontId="12" fillId="3" borderId="10" xfId="0" applyFont="1" applyFill="1" applyBorder="1" applyAlignment="1" applyProtection="1">
      <alignment horizontal="center"/>
      <protection locked="0"/>
    </xf>
    <xf numFmtId="0" fontId="10" fillId="2" borderId="5" xfId="0" applyFont="1" applyFill="1" applyBorder="1" applyAlignment="1">
      <alignment horizontal="right"/>
    </xf>
    <xf numFmtId="2" fontId="10" fillId="4" borderId="35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/>
    </xf>
    <xf numFmtId="2" fontId="10" fillId="5" borderId="35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4" borderId="35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4" borderId="11" xfId="0" applyNumberFormat="1" applyFont="1" applyFill="1" applyBorder="1" applyAlignment="1">
      <alignment horizontal="center"/>
    </xf>
    <xf numFmtId="0" fontId="10" fillId="2" borderId="36" xfId="0" applyFont="1" applyFill="1" applyBorder="1" applyAlignment="1">
      <alignment horizontal="right"/>
    </xf>
    <xf numFmtId="166" fontId="12" fillId="3" borderId="35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3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9" xfId="0" applyFont="1" applyFill="1" applyBorder="1" applyAlignment="1">
      <alignment horizontal="right"/>
    </xf>
    <xf numFmtId="2" fontId="10" fillId="4" borderId="9" xfId="0" applyNumberFormat="1" applyFont="1" applyFill="1" applyBorder="1" applyAlignment="1">
      <alignment horizontal="center"/>
    </xf>
    <xf numFmtId="171" fontId="11" fillId="5" borderId="7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4" borderId="35" xfId="0" applyNumberFormat="1" applyFont="1" applyFill="1" applyBorder="1" applyAlignment="1">
      <alignment horizontal="center"/>
    </xf>
    <xf numFmtId="0" fontId="10" fillId="2" borderId="37" xfId="0" applyFont="1" applyFill="1" applyBorder="1" applyAlignment="1">
      <alignment horizontal="right"/>
    </xf>
    <xf numFmtId="0" fontId="10" fillId="5" borderId="9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7" xfId="0" applyNumberFormat="1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2" fillId="3" borderId="15" xfId="0" applyFont="1" applyFill="1" applyBorder="1" applyAlignment="1" applyProtection="1">
      <alignment horizontal="center"/>
      <protection locked="0"/>
    </xf>
    <xf numFmtId="0" fontId="10" fillId="2" borderId="8" xfId="0" applyFont="1" applyFill="1" applyBorder="1" applyAlignment="1">
      <alignment horizontal="center"/>
    </xf>
    <xf numFmtId="1" fontId="12" fillId="3" borderId="17" xfId="0" applyNumberFormat="1" applyFont="1" applyFill="1" applyBorder="1" applyAlignment="1" applyProtection="1">
      <alignment horizontal="center"/>
      <protection locked="0"/>
    </xf>
    <xf numFmtId="0" fontId="10" fillId="2" borderId="9" xfId="0" applyFont="1" applyFill="1" applyBorder="1" applyAlignment="1">
      <alignment horizontal="center"/>
    </xf>
    <xf numFmtId="0" fontId="12" fillId="3" borderId="37" xfId="0" applyFont="1" applyFill="1" applyBorder="1" applyAlignment="1" applyProtection="1">
      <alignment horizontal="center"/>
      <protection locked="0"/>
    </xf>
    <xf numFmtId="0" fontId="13" fillId="2" borderId="18" xfId="0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39" xfId="0" applyFont="1" applyFill="1" applyBorder="1" applyAlignment="1">
      <alignment horizontal="right"/>
    </xf>
    <xf numFmtId="0" fontId="10" fillId="2" borderId="35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1" xfId="0" applyFont="1" applyFill="1" applyBorder="1" applyAlignment="1">
      <alignment horizontal="right"/>
    </xf>
    <xf numFmtId="0" fontId="12" fillId="5" borderId="40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1" xfId="0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2" borderId="24" xfId="0" applyFont="1" applyFill="1" applyBorder="1" applyAlignment="1">
      <alignment horizontal="center"/>
    </xf>
    <xf numFmtId="0" fontId="10" fillId="2" borderId="4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1" fontId="11" fillId="4" borderId="43" xfId="0" applyNumberFormat="1" applyFont="1" applyFill="1" applyBorder="1" applyAlignment="1">
      <alignment horizontal="center"/>
    </xf>
    <xf numFmtId="1" fontId="11" fillId="4" borderId="44" xfId="0" applyNumberFormat="1" applyFont="1" applyFill="1" applyBorder="1" applyAlignment="1">
      <alignment horizontal="center"/>
    </xf>
    <xf numFmtId="171" fontId="11" fillId="4" borderId="9" xfId="0" applyNumberFormat="1" applyFont="1" applyFill="1" applyBorder="1" applyAlignment="1">
      <alignment horizontal="center"/>
    </xf>
    <xf numFmtId="0" fontId="10" fillId="2" borderId="45" xfId="0" applyFont="1" applyFill="1" applyBorder="1" applyAlignment="1">
      <alignment horizontal="right"/>
    </xf>
    <xf numFmtId="0" fontId="12" fillId="3" borderId="46" xfId="0" applyFont="1" applyFill="1" applyBorder="1" applyAlignment="1" applyProtection="1">
      <alignment horizontal="center"/>
      <protection locked="0"/>
    </xf>
    <xf numFmtId="0" fontId="10" fillId="2" borderId="19" xfId="0" applyFont="1" applyFill="1" applyBorder="1" applyAlignment="1">
      <alignment horizontal="right"/>
    </xf>
    <xf numFmtId="2" fontId="10" fillId="4" borderId="2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5" borderId="21" xfId="0" applyNumberFormat="1" applyFont="1" applyFill="1" applyBorder="1" applyAlignment="1">
      <alignment horizontal="center"/>
    </xf>
    <xf numFmtId="166" fontId="10" fillId="4" borderId="21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5" borderId="21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47" xfId="0" applyFont="1" applyFill="1" applyBorder="1" applyAlignment="1">
      <alignment horizontal="right"/>
    </xf>
    <xf numFmtId="2" fontId="10" fillId="5" borderId="2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0" xfId="0" applyFont="1" applyFill="1" applyBorder="1" applyAlignment="1">
      <alignment horizontal="right"/>
    </xf>
    <xf numFmtId="171" fontId="11" fillId="5" borderId="10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4" borderId="35" xfId="0" applyNumberFormat="1" applyFont="1" applyFill="1" applyBorder="1" applyAlignment="1">
      <alignment horizontal="center"/>
    </xf>
    <xf numFmtId="0" fontId="11" fillId="5" borderId="11" xfId="0" applyFont="1" applyFill="1" applyBorder="1" applyAlignment="1">
      <alignment horizontal="center"/>
    </xf>
    <xf numFmtId="0" fontId="11" fillId="2" borderId="16" xfId="0" applyFont="1" applyFill="1" applyBorder="1" applyAlignment="1">
      <alignment horizontal="center" wrapText="1"/>
    </xf>
    <xf numFmtId="0" fontId="10" fillId="2" borderId="17" xfId="0" applyFont="1" applyFill="1" applyBorder="1" applyAlignment="1">
      <alignment horizontal="center"/>
    </xf>
    <xf numFmtId="0" fontId="10" fillId="2" borderId="17" xfId="0" applyFont="1" applyFill="1" applyBorder="1"/>
    <xf numFmtId="10" fontId="12" fillId="4" borderId="21" xfId="0" applyNumberFormat="1" applyFont="1" applyFill="1" applyBorder="1" applyAlignment="1">
      <alignment horizontal="center"/>
    </xf>
    <xf numFmtId="0" fontId="10" fillId="2" borderId="37" xfId="0" applyFont="1" applyFill="1" applyBorder="1"/>
    <xf numFmtId="0" fontId="18" fillId="2" borderId="3" xfId="0" applyFont="1" applyFill="1" applyBorder="1" applyAlignment="1">
      <alignment horizontal="left" vertical="center" wrapText="1"/>
    </xf>
    <xf numFmtId="0" fontId="10" fillId="2" borderId="3" xfId="0" applyFont="1" applyFill="1" applyBorder="1"/>
    <xf numFmtId="0" fontId="10" fillId="2" borderId="4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2" xfId="0" applyFont="1" applyFill="1" applyBorder="1"/>
    <xf numFmtId="0" fontId="10" fillId="2" borderId="2" xfId="0" applyFont="1" applyFill="1" applyBorder="1"/>
    <xf numFmtId="0" fontId="11" fillId="2" borderId="5" xfId="0" applyFont="1" applyFill="1" applyBorder="1"/>
    <xf numFmtId="0" fontId="10" fillId="2" borderId="5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15" xfId="0" applyNumberFormat="1" applyFont="1" applyFill="1" applyBorder="1" applyAlignment="1">
      <alignment horizontal="center"/>
    </xf>
    <xf numFmtId="166" fontId="10" fillId="2" borderId="17" xfId="0" applyNumberFormat="1" applyFont="1" applyFill="1" applyBorder="1" applyAlignment="1">
      <alignment horizontal="center"/>
    </xf>
    <xf numFmtId="166" fontId="10" fillId="2" borderId="7" xfId="0" applyNumberFormat="1" applyFont="1" applyFill="1" applyBorder="1" applyAlignment="1">
      <alignment horizontal="center"/>
    </xf>
    <xf numFmtId="166" fontId="10" fillId="2" borderId="8" xfId="0" applyNumberFormat="1" applyFont="1" applyFill="1" applyBorder="1" applyAlignment="1">
      <alignment horizontal="center"/>
    </xf>
    <xf numFmtId="166" fontId="10" fillId="2" borderId="9" xfId="0" applyNumberFormat="1" applyFont="1" applyFill="1" applyBorder="1" applyAlignment="1">
      <alignment horizontal="center"/>
    </xf>
    <xf numFmtId="10" fontId="12" fillId="4" borderId="48" xfId="0" applyNumberFormat="1" applyFont="1" applyFill="1" applyBorder="1" applyAlignment="1">
      <alignment horizontal="center"/>
    </xf>
    <xf numFmtId="2" fontId="12" fillId="5" borderId="27" xfId="0" applyNumberFormat="1" applyFont="1" applyFill="1" applyBorder="1" applyAlignment="1">
      <alignment horizontal="center"/>
    </xf>
    <xf numFmtId="0" fontId="13" fillId="2" borderId="0" xfId="0" applyFont="1" applyFill="1"/>
    <xf numFmtId="10" fontId="12" fillId="4" borderId="48" xfId="0" applyNumberFormat="1" applyFont="1" applyFill="1" applyBorder="1" applyAlignment="1">
      <alignment horizontal="center"/>
    </xf>
    <xf numFmtId="171" fontId="10" fillId="2" borderId="10" xfId="0" applyNumberFormat="1" applyFont="1" applyFill="1" applyBorder="1" applyAlignment="1">
      <alignment horizontal="right"/>
    </xf>
    <xf numFmtId="0" fontId="10" fillId="2" borderId="8" xfId="0" applyFont="1" applyFill="1" applyBorder="1" applyAlignment="1">
      <alignment horizontal="right"/>
    </xf>
    <xf numFmtId="2" fontId="12" fillId="5" borderId="49" xfId="0" applyNumberFormat="1" applyFont="1" applyFill="1" applyBorder="1" applyAlignment="1">
      <alignment horizontal="center"/>
    </xf>
    <xf numFmtId="0" fontId="10" fillId="2" borderId="7" xfId="0" applyFont="1" applyFill="1" applyBorder="1"/>
    <xf numFmtId="0" fontId="12" fillId="5" borderId="22" xfId="0" applyFont="1" applyFill="1" applyBorder="1" applyAlignment="1">
      <alignment horizontal="center"/>
    </xf>
    <xf numFmtId="0" fontId="12" fillId="5" borderId="50" xfId="0" applyFont="1" applyFill="1" applyBorder="1" applyAlignment="1">
      <alignment horizontal="center"/>
    </xf>
    <xf numFmtId="2" fontId="12" fillId="4" borderId="48" xfId="0" applyNumberFormat="1" applyFont="1" applyFill="1" applyBorder="1" applyAlignment="1">
      <alignment horizontal="center"/>
    </xf>
    <xf numFmtId="2" fontId="12" fillId="5" borderId="40" xfId="0" applyNumberFormat="1" applyFont="1" applyFill="1" applyBorder="1" applyAlignment="1">
      <alignment horizontal="center"/>
    </xf>
    <xf numFmtId="166" fontId="10" fillId="2" borderId="37" xfId="0" applyNumberFormat="1" applyFont="1" applyFill="1" applyBorder="1" applyAlignment="1">
      <alignment horizontal="center"/>
    </xf>
    <xf numFmtId="173" fontId="10" fillId="2" borderId="7" xfId="0" applyNumberFormat="1" applyFont="1" applyFill="1" applyBorder="1" applyAlignment="1">
      <alignment horizontal="center" vertical="center"/>
    </xf>
    <xf numFmtId="173" fontId="10" fillId="2" borderId="8" xfId="0" applyNumberFormat="1" applyFont="1" applyFill="1" applyBorder="1" applyAlignment="1">
      <alignment horizontal="center" vertical="center"/>
    </xf>
    <xf numFmtId="173" fontId="10" fillId="2" borderId="9" xfId="0" applyNumberFormat="1" applyFont="1" applyFill="1" applyBorder="1" applyAlignment="1">
      <alignment horizontal="center" vertical="center"/>
    </xf>
    <xf numFmtId="173" fontId="12" fillId="5" borderId="27" xfId="0" applyNumberFormat="1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1" fontId="12" fillId="3" borderId="8" xfId="0" applyNumberFormat="1" applyFont="1" applyFill="1" applyBorder="1" applyAlignment="1" applyProtection="1">
      <alignment horizontal="center"/>
      <protection locked="0"/>
    </xf>
    <xf numFmtId="1" fontId="12" fillId="3" borderId="9" xfId="0" applyNumberFormat="1" applyFont="1" applyFill="1" applyBorder="1" applyAlignment="1" applyProtection="1">
      <alignment horizontal="center"/>
      <protection locked="0"/>
    </xf>
    <xf numFmtId="0" fontId="10" fillId="2" borderId="7" xfId="0" applyFont="1" applyFill="1" applyBorder="1" applyAlignment="1">
      <alignment horizontal="center"/>
    </xf>
    <xf numFmtId="1" fontId="12" fillId="3" borderId="7" xfId="0" applyNumberFormat="1" applyFont="1" applyFill="1" applyBorder="1" applyAlignment="1" applyProtection="1">
      <alignment horizontal="center"/>
      <protection locked="0"/>
    </xf>
    <xf numFmtId="173" fontId="10" fillId="2" borderId="16" xfId="0" applyNumberFormat="1" applyFont="1" applyFill="1" applyBorder="1" applyAlignment="1">
      <alignment horizontal="center"/>
    </xf>
    <xf numFmtId="173" fontId="10" fillId="2" borderId="18" xfId="0" applyNumberFormat="1" applyFont="1" applyFill="1" applyBorder="1" applyAlignment="1">
      <alignment horizontal="center"/>
    </xf>
    <xf numFmtId="173" fontId="10" fillId="2" borderId="38" xfId="0" applyNumberFormat="1" applyFont="1" applyFill="1" applyBorder="1" applyAlignment="1">
      <alignment horizontal="center"/>
    </xf>
    <xf numFmtId="173" fontId="10" fillId="2" borderId="18" xfId="0" applyNumberFormat="1" applyFont="1" applyFill="1" applyBorder="1" applyAlignment="1">
      <alignment horizontal="center"/>
    </xf>
    <xf numFmtId="174" fontId="12" fillId="5" borderId="46" xfId="0" applyNumberFormat="1" applyFont="1" applyFill="1" applyBorder="1" applyAlignment="1">
      <alignment horizontal="center"/>
    </xf>
    <xf numFmtId="174" fontId="12" fillId="4" borderId="48" xfId="0" applyNumberFormat="1" applyFont="1" applyFill="1" applyBorder="1" applyAlignment="1">
      <alignment horizontal="center"/>
    </xf>
    <xf numFmtId="174" fontId="12" fillId="5" borderId="40" xfId="0" applyNumberFormat="1" applyFont="1" applyFill="1" applyBorder="1" applyAlignment="1">
      <alignment horizontal="center"/>
    </xf>
    <xf numFmtId="175" fontId="22" fillId="2" borderId="0" xfId="0" applyNumberFormat="1" applyFont="1" applyFill="1" applyAlignment="1">
      <alignment horizontal="center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8" fillId="2" borderId="15" xfId="0" applyFont="1" applyFill="1" applyBorder="1" applyAlignment="1">
      <alignment horizontal="left" vertical="center" wrapText="1"/>
    </xf>
    <xf numFmtId="0" fontId="18" fillId="2" borderId="16" xfId="0" applyFont="1" applyFill="1" applyBorder="1" applyAlignment="1">
      <alignment horizontal="left" vertical="center" wrapText="1"/>
    </xf>
    <xf numFmtId="0" fontId="18" fillId="2" borderId="37" xfId="0" applyFont="1" applyFill="1" applyBorder="1" applyAlignment="1">
      <alignment horizontal="left" vertical="center" wrapText="1"/>
    </xf>
    <xf numFmtId="0" fontId="18" fillId="2" borderId="38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8" fillId="2" borderId="12" xfId="0" applyFont="1" applyFill="1" applyBorder="1" applyAlignment="1">
      <alignment horizontal="justify" vertical="center" wrapText="1"/>
    </xf>
    <xf numFmtId="0" fontId="18" fillId="2" borderId="13" xfId="0" applyFont="1" applyFill="1" applyBorder="1" applyAlignment="1">
      <alignment horizontal="justify" vertical="center" wrapText="1"/>
    </xf>
    <xf numFmtId="0" fontId="18" fillId="2" borderId="14" xfId="0" applyFont="1" applyFill="1" applyBorder="1" applyAlignment="1">
      <alignment horizontal="justify" vertical="center" wrapText="1"/>
    </xf>
    <xf numFmtId="0" fontId="18" fillId="2" borderId="12" xfId="0" applyFont="1" applyFill="1" applyBorder="1" applyAlignment="1">
      <alignment horizontal="left" vertical="center" wrapText="1"/>
    </xf>
    <xf numFmtId="0" fontId="18" fillId="2" borderId="13" xfId="0" applyFont="1" applyFill="1" applyBorder="1" applyAlignment="1">
      <alignment horizontal="left" vertical="center" wrapText="1"/>
    </xf>
    <xf numFmtId="0" fontId="18" fillId="2" borderId="14" xfId="0" applyFont="1" applyFill="1" applyBorder="1" applyAlignment="1">
      <alignment horizontal="left" vertical="center" wrapText="1"/>
    </xf>
    <xf numFmtId="0" fontId="11" fillId="2" borderId="41" xfId="0" applyFont="1" applyFill="1" applyBorder="1" applyAlignment="1">
      <alignment horizontal="center"/>
    </xf>
    <xf numFmtId="0" fontId="11" fillId="2" borderId="49" xfId="0" applyFont="1" applyFill="1" applyBorder="1" applyAlignment="1">
      <alignment horizontal="center"/>
    </xf>
    <xf numFmtId="10" fontId="14" fillId="2" borderId="8" xfId="0" applyNumberFormat="1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left" vertical="center" wrapText="1"/>
    </xf>
    <xf numFmtId="0" fontId="18" fillId="2" borderId="3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37" xfId="0" applyFont="1" applyFill="1" applyBorder="1" applyAlignment="1">
      <alignment horizontal="center" vertical="center"/>
    </xf>
    <xf numFmtId="2" fontId="12" fillId="3" borderId="7" xfId="0" applyNumberFormat="1" applyFont="1" applyFill="1" applyBorder="1" applyAlignment="1" applyProtection="1">
      <alignment horizontal="center" vertical="center"/>
      <protection locked="0"/>
    </xf>
    <xf numFmtId="2" fontId="12" fillId="3" borderId="8" xfId="0" applyNumberFormat="1" applyFont="1" applyFill="1" applyBorder="1" applyAlignment="1" applyProtection="1">
      <alignment horizontal="center" vertical="center"/>
      <protection locked="0"/>
    </xf>
    <xf numFmtId="2" fontId="12" fillId="3" borderId="9" xfId="0" applyNumberFormat="1" applyFont="1" applyFill="1" applyBorder="1" applyAlignment="1" applyProtection="1">
      <alignment horizontal="center" vertical="center"/>
      <protection locked="0"/>
    </xf>
    <xf numFmtId="0" fontId="18" fillId="2" borderId="15" xfId="0" applyFont="1" applyFill="1" applyBorder="1" applyAlignment="1">
      <alignment horizontal="center" vertical="center" wrapText="1"/>
    </xf>
    <xf numFmtId="0" fontId="18" fillId="2" borderId="16" xfId="0" applyFont="1" applyFill="1" applyBorder="1" applyAlignment="1">
      <alignment horizontal="center" vertical="center" wrapText="1"/>
    </xf>
    <xf numFmtId="0" fontId="18" fillId="2" borderId="37" xfId="0" applyFont="1" applyFill="1" applyBorder="1" applyAlignment="1">
      <alignment horizontal="center" vertical="center" wrapText="1"/>
    </xf>
    <xf numFmtId="0" fontId="18" fillId="2" borderId="38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/>
    </xf>
    <xf numFmtId="0" fontId="11" fillId="2" borderId="41" xfId="0" applyFont="1" applyFill="1" applyBorder="1" applyAlignment="1">
      <alignment horizontal="center" vertical="center"/>
    </xf>
    <xf numFmtId="0" fontId="11" fillId="2" borderId="49" xfId="0" applyFont="1" applyFill="1" applyBorder="1" applyAlignment="1">
      <alignment horizontal="center" vertical="center"/>
    </xf>
    <xf numFmtId="0" fontId="12" fillId="3" borderId="0" xfId="0" applyFont="1" applyFill="1" applyAlignment="1" applyProtection="1">
      <alignment horizontal="left" wrapText="1"/>
      <protection locked="0"/>
    </xf>
    <xf numFmtId="0" fontId="18" fillId="2" borderId="12" xfId="0" applyFont="1" applyFill="1" applyBorder="1" applyAlignment="1">
      <alignment horizontal="center"/>
    </xf>
    <xf numFmtId="0" fontId="18" fillId="2" borderId="13" xfId="0" applyFont="1" applyFill="1" applyBorder="1" applyAlignment="1">
      <alignment horizontal="center"/>
    </xf>
    <xf numFmtId="0" fontId="18" fillId="2" borderId="14" xfId="0" applyFont="1" applyFill="1" applyBorder="1" applyAlignment="1">
      <alignment horizontal="center"/>
    </xf>
    <xf numFmtId="0" fontId="19" fillId="2" borderId="4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1" fillId="2" borderId="34" xfId="0" applyFont="1" applyFill="1" applyBorder="1" applyAlignment="1">
      <alignment horizontal="center"/>
    </xf>
    <xf numFmtId="0" fontId="12" fillId="3" borderId="0" xfId="0" applyFont="1" applyFill="1" applyAlignment="1" applyProtection="1">
      <alignment horizontal="left"/>
      <protection locked="0"/>
    </xf>
    <xf numFmtId="0" fontId="1" fillId="2" borderId="0" xfId="4" applyFont="1" applyFill="1"/>
    <xf numFmtId="0" fontId="24" fillId="2" borderId="0" xfId="4" applyFill="1"/>
    <xf numFmtId="0" fontId="9" fillId="2" borderId="12" xfId="4" applyFont="1" applyFill="1" applyBorder="1" applyAlignment="1">
      <alignment horizontal="center" wrapText="1"/>
    </xf>
    <xf numFmtId="0" fontId="9" fillId="2" borderId="13" xfId="4" applyFont="1" applyFill="1" applyBorder="1" applyAlignment="1">
      <alignment horizontal="center" wrapText="1"/>
    </xf>
    <xf numFmtId="0" fontId="9" fillId="2" borderId="14" xfId="4" applyFont="1" applyFill="1" applyBorder="1" applyAlignment="1">
      <alignment horizontal="center" wrapText="1"/>
    </xf>
    <xf numFmtId="0" fontId="9" fillId="2" borderId="0" xfId="4" applyFont="1" applyFill="1" applyAlignment="1">
      <alignment wrapText="1"/>
    </xf>
    <xf numFmtId="0" fontId="4" fillId="2" borderId="0" xfId="4" applyFont="1" applyFill="1" applyAlignment="1">
      <alignment horizontal="center"/>
    </xf>
    <xf numFmtId="0" fontId="4" fillId="2" borderId="0" xfId="4" applyFont="1" applyFill="1"/>
    <xf numFmtId="0" fontId="5" fillId="2" borderId="0" xfId="4" applyFont="1" applyFill="1" applyAlignment="1">
      <alignment horizontal="right"/>
    </xf>
    <xf numFmtId="0" fontId="6" fillId="2" borderId="0" xfId="4" applyFont="1" applyFill="1"/>
    <xf numFmtId="167" fontId="6" fillId="2" borderId="0" xfId="4" applyNumberFormat="1" applyFont="1" applyFill="1" applyAlignment="1">
      <alignment horizontal="center"/>
    </xf>
    <xf numFmtId="0" fontId="5" fillId="2" borderId="0" xfId="4" applyFont="1" applyFill="1" applyAlignment="1">
      <alignment horizontal="right"/>
    </xf>
    <xf numFmtId="167" fontId="6" fillId="2" borderId="0" xfId="4" applyNumberFormat="1" applyFont="1" applyFill="1"/>
    <xf numFmtId="0" fontId="4" fillId="2" borderId="0" xfId="4" applyFont="1" applyFill="1" applyAlignment="1">
      <alignment horizontal="left"/>
    </xf>
    <xf numFmtId="0" fontId="8" fillId="2" borderId="0" xfId="4" applyFont="1" applyFill="1"/>
    <xf numFmtId="164" fontId="1" fillId="2" borderId="0" xfId="4" applyNumberFormat="1" applyFont="1" applyFill="1" applyAlignment="1">
      <alignment horizontal="center"/>
    </xf>
    <xf numFmtId="164" fontId="1" fillId="2" borderId="0" xfId="4" applyNumberFormat="1" applyFont="1" applyFill="1"/>
    <xf numFmtId="164" fontId="5" fillId="2" borderId="6" xfId="4" applyNumberFormat="1" applyFont="1" applyFill="1" applyBorder="1" applyAlignment="1">
      <alignment horizontal="center" wrapText="1"/>
    </xf>
    <xf numFmtId="0" fontId="5" fillId="2" borderId="6" xfId="4" applyFont="1" applyFill="1" applyBorder="1" applyAlignment="1">
      <alignment horizontal="center" wrapText="1"/>
    </xf>
    <xf numFmtId="0" fontId="2" fillId="2" borderId="0" xfId="4" applyFont="1" applyFill="1" applyAlignment="1">
      <alignment horizontal="center"/>
    </xf>
    <xf numFmtId="2" fontId="6" fillId="3" borderId="8" xfId="4" applyNumberFormat="1" applyFont="1" applyFill="1" applyBorder="1" applyProtection="1">
      <protection locked="0"/>
    </xf>
    <xf numFmtId="10" fontId="6" fillId="2" borderId="7" xfId="4" applyNumberFormat="1" applyFont="1" applyFill="1" applyBorder="1" applyAlignment="1">
      <alignment horizontal="center"/>
    </xf>
    <xf numFmtId="10" fontId="6" fillId="2" borderId="0" xfId="4" applyNumberFormat="1" applyFont="1" applyFill="1" applyAlignment="1">
      <alignment horizontal="center"/>
    </xf>
    <xf numFmtId="10" fontId="6" fillId="2" borderId="8" xfId="4" applyNumberFormat="1" applyFont="1" applyFill="1" applyBorder="1" applyAlignment="1">
      <alignment horizontal="center"/>
    </xf>
    <xf numFmtId="2" fontId="6" fillId="3" borderId="9" xfId="4" applyNumberFormat="1" applyFont="1" applyFill="1" applyBorder="1" applyProtection="1">
      <protection locked="0"/>
    </xf>
    <xf numFmtId="10" fontId="6" fillId="2" borderId="9" xfId="4" applyNumberFormat="1" applyFont="1" applyFill="1" applyBorder="1" applyAlignment="1">
      <alignment horizontal="center"/>
    </xf>
    <xf numFmtId="166" fontId="2" fillId="2" borderId="0" xfId="4" applyNumberFormat="1" applyFont="1" applyFill="1" applyAlignment="1">
      <alignment horizontal="center"/>
    </xf>
    <xf numFmtId="10" fontId="2" fillId="2" borderId="0" xfId="4" applyNumberFormat="1" applyFont="1" applyFill="1" applyAlignment="1">
      <alignment horizontal="center"/>
    </xf>
    <xf numFmtId="0" fontId="6" fillId="2" borderId="6" xfId="4" applyFont="1" applyFill="1" applyBorder="1" applyAlignment="1">
      <alignment horizontal="right" vertical="center"/>
    </xf>
    <xf numFmtId="166" fontId="6" fillId="2" borderId="6" xfId="4" applyNumberFormat="1" applyFont="1" applyFill="1" applyBorder="1" applyAlignment="1">
      <alignment horizontal="center" vertical="center"/>
    </xf>
    <xf numFmtId="166" fontId="6" fillId="2" borderId="0" xfId="4" applyNumberFormat="1" applyFont="1" applyFill="1" applyAlignment="1">
      <alignment horizontal="center"/>
    </xf>
    <xf numFmtId="164" fontId="5" fillId="2" borderId="6" xfId="4" applyNumberFormat="1" applyFont="1" applyFill="1" applyBorder="1" applyAlignment="1">
      <alignment horizontal="center" vertical="center"/>
    </xf>
    <xf numFmtId="2" fontId="7" fillId="2" borderId="0" xfId="4" applyNumberFormat="1" applyFont="1" applyFill="1" applyAlignment="1">
      <alignment horizontal="right"/>
    </xf>
    <xf numFmtId="2" fontId="5" fillId="2" borderId="0" xfId="4" applyNumberFormat="1" applyFont="1" applyFill="1"/>
    <xf numFmtId="2" fontId="7" fillId="2" borderId="0" xfId="4" applyNumberFormat="1" applyFont="1" applyFill="1"/>
    <xf numFmtId="0" fontId="5" fillId="2" borderId="6" xfId="4" applyFont="1" applyFill="1" applyBorder="1" applyAlignment="1">
      <alignment horizontal="center" vertical="center"/>
    </xf>
    <xf numFmtId="10" fontId="2" fillId="2" borderId="0" xfId="4" applyNumberFormat="1" applyFont="1" applyFill="1"/>
    <xf numFmtId="166" fontId="5" fillId="2" borderId="7" xfId="4" applyNumberFormat="1" applyFont="1" applyFill="1" applyBorder="1" applyAlignment="1">
      <alignment horizontal="center" vertical="center"/>
    </xf>
    <xf numFmtId="165" fontId="5" fillId="2" borderId="10" xfId="4" applyNumberFormat="1" applyFont="1" applyFill="1" applyBorder="1" applyAlignment="1">
      <alignment horizontal="center"/>
    </xf>
    <xf numFmtId="2" fontId="5" fillId="2" borderId="6" xfId="4" applyNumberFormat="1" applyFont="1" applyFill="1" applyBorder="1" applyAlignment="1">
      <alignment horizontal="center" vertical="center"/>
    </xf>
    <xf numFmtId="166" fontId="5" fillId="2" borderId="9" xfId="4" applyNumberFormat="1" applyFont="1" applyFill="1" applyBorder="1" applyAlignment="1">
      <alignment horizontal="center" vertical="center"/>
    </xf>
    <xf numFmtId="165" fontId="5" fillId="2" borderId="11" xfId="4" applyNumberFormat="1" applyFont="1" applyFill="1" applyBorder="1" applyAlignment="1">
      <alignment horizontal="center"/>
    </xf>
    <xf numFmtId="0" fontId="6" fillId="2" borderId="3" xfId="4" applyFont="1" applyFill="1" applyBorder="1"/>
    <xf numFmtId="0" fontId="6" fillId="2" borderId="0" xfId="4" applyFont="1" applyFill="1" applyAlignment="1">
      <alignment horizontal="center"/>
    </xf>
    <xf numFmtId="10" fontId="6" fillId="2" borderId="3" xfId="4" applyNumberFormat="1" applyFont="1" applyFill="1" applyBorder="1"/>
    <xf numFmtId="0" fontId="5" fillId="2" borderId="4" xfId="4" applyFont="1" applyFill="1" applyBorder="1"/>
    <xf numFmtId="0" fontId="5" fillId="2" borderId="4" xfId="4" applyFont="1" applyFill="1" applyBorder="1" applyAlignment="1">
      <alignment horizontal="center"/>
    </xf>
    <xf numFmtId="0" fontId="6" fillId="2" borderId="4" xfId="4" applyFont="1" applyFill="1" applyBorder="1" applyAlignment="1">
      <alignment horizontal="center"/>
    </xf>
    <xf numFmtId="0" fontId="6" fillId="2" borderId="2" xfId="4" applyFont="1" applyFill="1" applyBorder="1"/>
    <xf numFmtId="0" fontId="5" fillId="2" borderId="5" xfId="4" applyFont="1" applyFill="1" applyBorder="1"/>
    <xf numFmtId="0" fontId="5" fillId="2" borderId="0" xfId="4" applyFont="1" applyFill="1"/>
    <xf numFmtId="0" fontId="6" fillId="2" borderId="5" xfId="4" applyFont="1" applyFill="1" applyBorder="1"/>
  </cellXfs>
  <cellStyles count="5">
    <cellStyle name="Normal" xfId="0" builtinId="0"/>
    <cellStyle name="Normal 2" xfId="1"/>
    <cellStyle name="Normal 3" xfId="2"/>
    <cellStyle name="Normal 4" xfId="3"/>
    <cellStyle name="Normal 5" xfId="4"/>
  </cellStyles>
  <dxfs count="39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D44" sqref="D44"/>
    </sheetView>
  </sheetViews>
  <sheetFormatPr defaultRowHeight="15" x14ac:dyDescent="0.3"/>
  <cols>
    <col min="1" max="1" width="15.5703125" style="416" customWidth="1"/>
    <col min="2" max="2" width="18.42578125" style="416" customWidth="1"/>
    <col min="3" max="3" width="14.28515625" style="416" customWidth="1"/>
    <col min="4" max="4" width="15" style="416" customWidth="1"/>
    <col min="5" max="5" width="9.140625" style="416" customWidth="1"/>
    <col min="6" max="6" width="27.85546875" style="416" customWidth="1"/>
    <col min="7" max="7" width="12.28515625" style="416" customWidth="1"/>
    <col min="8" max="8" width="9.140625" style="416" customWidth="1"/>
    <col min="9" max="16384" width="9.140625" style="417"/>
  </cols>
  <sheetData>
    <row r="10" spans="1:7" ht="13.5" customHeight="1" thickBot="1" x14ac:dyDescent="0.35"/>
    <row r="11" spans="1:7" ht="13.5" customHeight="1" thickBot="1" x14ac:dyDescent="0.35">
      <c r="A11" s="418" t="s">
        <v>12</v>
      </c>
      <c r="B11" s="419"/>
      <c r="C11" s="419"/>
      <c r="D11" s="419"/>
      <c r="E11" s="419"/>
      <c r="F11" s="420"/>
      <c r="G11" s="421"/>
    </row>
    <row r="12" spans="1:7" ht="16.5" customHeight="1" x14ac:dyDescent="0.3">
      <c r="A12" s="422" t="s">
        <v>13</v>
      </c>
      <c r="B12" s="422"/>
      <c r="C12" s="422"/>
      <c r="D12" s="422"/>
      <c r="E12" s="422"/>
      <c r="F12" s="422"/>
      <c r="G12" s="423"/>
    </row>
    <row r="14" spans="1:7" ht="16.5" customHeight="1" x14ac:dyDescent="0.3">
      <c r="A14" s="424" t="s">
        <v>14</v>
      </c>
      <c r="B14" s="424"/>
      <c r="C14" s="425" t="s">
        <v>2</v>
      </c>
    </row>
    <row r="15" spans="1:7" ht="16.5" customHeight="1" x14ac:dyDescent="0.3">
      <c r="A15" s="424" t="s">
        <v>15</v>
      </c>
      <c r="B15" s="424"/>
      <c r="C15" s="425" t="s">
        <v>118</v>
      </c>
    </row>
    <row r="16" spans="1:7" ht="16.5" customHeight="1" x14ac:dyDescent="0.3">
      <c r="A16" s="424" t="s">
        <v>16</v>
      </c>
      <c r="B16" s="424"/>
      <c r="C16" s="425" t="s">
        <v>4</v>
      </c>
    </row>
    <row r="17" spans="1:5" ht="16.5" customHeight="1" x14ac:dyDescent="0.3">
      <c r="A17" s="424" t="s">
        <v>17</v>
      </c>
      <c r="B17" s="424"/>
      <c r="C17" s="425" t="s">
        <v>5</v>
      </c>
    </row>
    <row r="18" spans="1:5" ht="16.5" customHeight="1" x14ac:dyDescent="0.3">
      <c r="A18" s="424" t="s">
        <v>18</v>
      </c>
      <c r="B18" s="424"/>
      <c r="C18" s="426" t="s">
        <v>119</v>
      </c>
    </row>
    <row r="19" spans="1:5" ht="16.5" customHeight="1" x14ac:dyDescent="0.3">
      <c r="A19" s="424" t="s">
        <v>19</v>
      </c>
      <c r="B19" s="424"/>
      <c r="C19" s="426" t="e">
        <f>#REF!</f>
        <v>#REF!</v>
      </c>
    </row>
    <row r="20" spans="1:5" ht="16.5" customHeight="1" x14ac:dyDescent="0.3">
      <c r="A20" s="427"/>
      <c r="B20" s="427"/>
      <c r="C20" s="428"/>
    </row>
    <row r="21" spans="1:5" ht="16.5" customHeight="1" x14ac:dyDescent="0.3">
      <c r="A21" s="422" t="s">
        <v>0</v>
      </c>
      <c r="B21" s="422"/>
      <c r="C21" s="429" t="s">
        <v>20</v>
      </c>
      <c r="D21" s="430"/>
    </row>
    <row r="22" spans="1:5" ht="15.75" customHeight="1" thickBot="1" x14ac:dyDescent="0.35">
      <c r="A22" s="431"/>
      <c r="B22" s="431"/>
      <c r="C22" s="432"/>
      <c r="D22" s="431"/>
      <c r="E22" s="431"/>
    </row>
    <row r="23" spans="1:5" ht="33.75" customHeight="1" thickBot="1" x14ac:dyDescent="0.35">
      <c r="C23" s="433" t="s">
        <v>21</v>
      </c>
      <c r="D23" s="434" t="s">
        <v>22</v>
      </c>
      <c r="E23" s="435"/>
    </row>
    <row r="24" spans="1:5" ht="15.75" customHeight="1" x14ac:dyDescent="0.3">
      <c r="C24" s="436">
        <v>1083.6500000000001</v>
      </c>
      <c r="D24" s="437">
        <f t="shared" ref="D24:D43" si="0">(C24-$C$46)/$C$46</f>
        <v>1.271397076895688E-3</v>
      </c>
      <c r="E24" s="438"/>
    </row>
    <row r="25" spans="1:5" ht="15.75" customHeight="1" x14ac:dyDescent="0.3">
      <c r="C25" s="436">
        <v>1082.79</v>
      </c>
      <c r="D25" s="439">
        <f t="shared" si="0"/>
        <v>4.7677390383588303E-4</v>
      </c>
      <c r="E25" s="438"/>
    </row>
    <row r="26" spans="1:5" ht="15.75" customHeight="1" x14ac:dyDescent="0.3">
      <c r="C26" s="436">
        <v>1088.79</v>
      </c>
      <c r="D26" s="439">
        <f t="shared" si="0"/>
        <v>6.0206565065778882E-3</v>
      </c>
      <c r="E26" s="438"/>
    </row>
    <row r="27" spans="1:5" ht="15.75" customHeight="1" x14ac:dyDescent="0.3">
      <c r="C27" s="436">
        <v>1072.3</v>
      </c>
      <c r="D27" s="439">
        <f t="shared" si="0"/>
        <v>-9.2157808466247302E-3</v>
      </c>
      <c r="E27" s="438"/>
    </row>
    <row r="28" spans="1:5" ht="15.75" customHeight="1" x14ac:dyDescent="0.3">
      <c r="C28" s="436">
        <v>1072.8499999999999</v>
      </c>
      <c r="D28" s="439">
        <f t="shared" si="0"/>
        <v>-8.7075916080400894E-3</v>
      </c>
      <c r="E28" s="438"/>
    </row>
    <row r="29" spans="1:5" ht="15.75" customHeight="1" x14ac:dyDescent="0.3">
      <c r="C29" s="436">
        <v>1081.5899999999999</v>
      </c>
      <c r="D29" s="439">
        <f t="shared" si="0"/>
        <v>-6.3200261671256003E-4</v>
      </c>
      <c r="E29" s="438"/>
    </row>
    <row r="30" spans="1:5" ht="15.75" customHeight="1" x14ac:dyDescent="0.3">
      <c r="C30" s="436">
        <v>1077.95</v>
      </c>
      <c r="D30" s="439">
        <f t="shared" si="0"/>
        <v>-3.9952913957092585E-3</v>
      </c>
      <c r="E30" s="438"/>
    </row>
    <row r="31" spans="1:5" ht="15.75" customHeight="1" x14ac:dyDescent="0.3">
      <c r="C31" s="436">
        <v>1099.1600000000001</v>
      </c>
      <c r="D31" s="439">
        <f t="shared" si="0"/>
        <v>1.5602333604983762E-2</v>
      </c>
      <c r="E31" s="438"/>
    </row>
    <row r="32" spans="1:5" ht="15.75" customHeight="1" x14ac:dyDescent="0.3">
      <c r="C32" s="436">
        <v>1085.31</v>
      </c>
      <c r="D32" s="439">
        <f t="shared" si="0"/>
        <v>2.8052045969875084E-3</v>
      </c>
      <c r="E32" s="438"/>
    </row>
    <row r="33" spans="1:7" ht="15.75" customHeight="1" x14ac:dyDescent="0.3">
      <c r="C33" s="436">
        <v>1073.52</v>
      </c>
      <c r="D33" s="439">
        <f t="shared" si="0"/>
        <v>-8.0885247174004981E-3</v>
      </c>
      <c r="E33" s="438"/>
    </row>
    <row r="34" spans="1:7" ht="15.75" customHeight="1" x14ac:dyDescent="0.3">
      <c r="C34" s="436">
        <v>1090.73</v>
      </c>
      <c r="D34" s="439">
        <f t="shared" si="0"/>
        <v>7.8131785481311868E-3</v>
      </c>
      <c r="E34" s="438"/>
    </row>
    <row r="35" spans="1:7" ht="15.75" customHeight="1" x14ac:dyDescent="0.3">
      <c r="C35" s="436">
        <v>1077.83</v>
      </c>
      <c r="D35" s="439">
        <f t="shared" si="0"/>
        <v>-4.1061690477642082E-3</v>
      </c>
      <c r="E35" s="438"/>
    </row>
    <row r="36" spans="1:7" ht="15.75" customHeight="1" x14ac:dyDescent="0.3">
      <c r="C36" s="436">
        <v>1077.18</v>
      </c>
      <c r="D36" s="439">
        <f t="shared" si="0"/>
        <v>-4.7067563297277992E-3</v>
      </c>
      <c r="E36" s="438"/>
    </row>
    <row r="37" spans="1:7" ht="15.75" customHeight="1" x14ac:dyDescent="0.3">
      <c r="C37" s="436">
        <v>1084.8900000000001</v>
      </c>
      <c r="D37" s="439">
        <f t="shared" si="0"/>
        <v>2.4171328147957107E-3</v>
      </c>
      <c r="E37" s="438"/>
    </row>
    <row r="38" spans="1:7" ht="15.75" customHeight="1" x14ac:dyDescent="0.3">
      <c r="C38" s="436">
        <v>1085.78</v>
      </c>
      <c r="D38" s="439">
        <f t="shared" si="0"/>
        <v>3.2394754008689907E-3</v>
      </c>
      <c r="E38" s="438"/>
    </row>
    <row r="39" spans="1:7" ht="15.75" customHeight="1" x14ac:dyDescent="0.3">
      <c r="C39" s="436">
        <v>1086.6400000000001</v>
      </c>
      <c r="D39" s="439">
        <f t="shared" si="0"/>
        <v>4.0340985739287958E-3</v>
      </c>
      <c r="E39" s="438"/>
    </row>
    <row r="40" spans="1:7" ht="15.75" customHeight="1" x14ac:dyDescent="0.3">
      <c r="C40" s="436">
        <v>1087.9100000000001</v>
      </c>
      <c r="D40" s="439">
        <f t="shared" si="0"/>
        <v>5.207553724842503E-3</v>
      </c>
      <c r="E40" s="438"/>
    </row>
    <row r="41" spans="1:7" ht="15.75" customHeight="1" x14ac:dyDescent="0.3">
      <c r="C41" s="436">
        <v>1077.1400000000001</v>
      </c>
      <c r="D41" s="439">
        <f t="shared" si="0"/>
        <v>-4.7437155470793791E-3</v>
      </c>
      <c r="E41" s="438"/>
    </row>
    <row r="42" spans="1:7" ht="15.75" customHeight="1" x14ac:dyDescent="0.3">
      <c r="C42" s="436">
        <v>1082.4100000000001</v>
      </c>
      <c r="D42" s="439">
        <f t="shared" si="0"/>
        <v>1.2566133899566528E-4</v>
      </c>
      <c r="E42" s="438"/>
    </row>
    <row r="43" spans="1:7" ht="16.5" customHeight="1" thickBot="1" x14ac:dyDescent="0.35">
      <c r="C43" s="440">
        <v>1077.06</v>
      </c>
      <c r="D43" s="441">
        <f t="shared" si="0"/>
        <v>-4.8176339817827488E-3</v>
      </c>
      <c r="E43" s="438"/>
    </row>
    <row r="44" spans="1:7" ht="16.5" customHeight="1" thickBot="1" x14ac:dyDescent="0.35">
      <c r="C44" s="442"/>
      <c r="D44" s="438"/>
      <c r="E44" s="443"/>
    </row>
    <row r="45" spans="1:7" ht="16.5" customHeight="1" thickBot="1" x14ac:dyDescent="0.35">
      <c r="B45" s="444" t="s">
        <v>23</v>
      </c>
      <c r="C45" s="445">
        <f>SUM(C24:C44)</f>
        <v>21645.48</v>
      </c>
      <c r="D45" s="446"/>
      <c r="E45" s="442"/>
    </row>
    <row r="46" spans="1:7" ht="17.25" customHeight="1" thickBot="1" x14ac:dyDescent="0.35">
      <c r="B46" s="444" t="s">
        <v>24</v>
      </c>
      <c r="C46" s="447">
        <f>AVERAGE(C24:C44)</f>
        <v>1082.2739999999999</v>
      </c>
      <c r="E46" s="448"/>
    </row>
    <row r="47" spans="1:7" ht="17.25" customHeight="1" thickBot="1" x14ac:dyDescent="0.35">
      <c r="A47" s="425"/>
      <c r="B47" s="449"/>
      <c r="D47" s="450"/>
      <c r="E47" s="448"/>
    </row>
    <row r="48" spans="1:7" ht="33.75" customHeight="1" thickBot="1" x14ac:dyDescent="0.35">
      <c r="B48" s="451" t="s">
        <v>24</v>
      </c>
      <c r="C48" s="434" t="s">
        <v>25</v>
      </c>
      <c r="D48" s="452"/>
      <c r="G48" s="450"/>
    </row>
    <row r="49" spans="1:6" ht="17.25" customHeight="1" thickBot="1" x14ac:dyDescent="0.35">
      <c r="B49" s="453">
        <f>C46</f>
        <v>1082.2739999999999</v>
      </c>
      <c r="C49" s="454">
        <f>-IF(C46&lt;=80,10%,IF(C46&lt;250,7.5%,5%))</f>
        <v>-0.05</v>
      </c>
      <c r="D49" s="455">
        <f>IF(C46&lt;=80,C46*0.9,IF(C46&lt;250,C46*0.925,C46*0.95))</f>
        <v>1028.1602999999998</v>
      </c>
    </row>
    <row r="50" spans="1:6" ht="17.25" customHeight="1" thickBot="1" x14ac:dyDescent="0.35">
      <c r="B50" s="456"/>
      <c r="C50" s="457">
        <f>IF(C46&lt;=80, 10%, IF(C46&lt;250, 7.5%, 5%))</f>
        <v>0.05</v>
      </c>
      <c r="D50" s="455">
        <f>IF(C46&lt;=80, C46*1.1, IF(C46&lt;250, C46*1.075, C46*1.05))</f>
        <v>1136.3877</v>
      </c>
    </row>
    <row r="51" spans="1:6" ht="16.5" customHeight="1" thickBot="1" x14ac:dyDescent="0.35">
      <c r="A51" s="458"/>
      <c r="B51" s="459"/>
      <c r="C51" s="425"/>
      <c r="D51" s="460"/>
      <c r="E51" s="425"/>
      <c r="F51" s="430"/>
    </row>
    <row r="52" spans="1:6" ht="16.5" customHeight="1" x14ac:dyDescent="0.3">
      <c r="A52" s="425"/>
      <c r="B52" s="461" t="s">
        <v>7</v>
      </c>
      <c r="C52" s="461"/>
      <c r="D52" s="462" t="s">
        <v>8</v>
      </c>
      <c r="E52" s="463"/>
      <c r="F52" s="462" t="s">
        <v>9</v>
      </c>
    </row>
    <row r="53" spans="1:6" ht="34.5" customHeight="1" x14ac:dyDescent="0.3">
      <c r="A53" s="427" t="s">
        <v>10</v>
      </c>
      <c r="B53" s="464"/>
      <c r="C53" s="425"/>
      <c r="D53" s="464"/>
      <c r="E53" s="425"/>
      <c r="F53" s="464"/>
    </row>
    <row r="54" spans="1:6" ht="34.5" customHeight="1" x14ac:dyDescent="0.3">
      <c r="A54" s="427" t="s">
        <v>11</v>
      </c>
      <c r="B54" s="465"/>
      <c r="C54" s="466"/>
      <c r="D54" s="465"/>
      <c r="E54" s="425"/>
      <c r="F54" s="467"/>
    </row>
  </sheetData>
  <sheetProtection password="B3F3" sheet="1" formatColumns="0" formatRows="0" insertColumns="0" insertHyperlinks="0" deleteColumns="0" deleteRows="0" autoFilter="0" pivotTables="0"/>
  <mergeCells count="12">
    <mergeCell ref="A18:B18"/>
    <mergeCell ref="A19:B19"/>
    <mergeCell ref="A21:B21"/>
    <mergeCell ref="A22:B22"/>
    <mergeCell ref="D22:E22"/>
    <mergeCell ref="B49:B50"/>
    <mergeCell ref="A11:F11"/>
    <mergeCell ref="A12:F12"/>
    <mergeCell ref="A14:B14"/>
    <mergeCell ref="A15:B15"/>
    <mergeCell ref="A16:B16"/>
    <mergeCell ref="A17:B17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250"/>
  <sheetViews>
    <sheetView view="pageLayout" zoomScale="55" zoomScaleNormal="40" zoomScalePageLayoutView="55" workbookViewId="0">
      <selection sqref="A1:I130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</cols>
  <sheetData>
    <row r="1" spans="1:9" ht="18.75" customHeight="1" x14ac:dyDescent="0.25">
      <c r="A1" s="375" t="s">
        <v>26</v>
      </c>
      <c r="B1" s="375"/>
      <c r="C1" s="375"/>
      <c r="D1" s="375"/>
      <c r="E1" s="375"/>
      <c r="F1" s="375"/>
      <c r="G1" s="375"/>
      <c r="H1" s="375"/>
      <c r="I1" s="375"/>
    </row>
    <row r="2" spans="1:9" ht="18.75" customHeight="1" x14ac:dyDescent="0.25">
      <c r="A2" s="375"/>
      <c r="B2" s="375"/>
      <c r="C2" s="375"/>
      <c r="D2" s="375"/>
      <c r="E2" s="375"/>
      <c r="F2" s="375"/>
      <c r="G2" s="375"/>
      <c r="H2" s="375"/>
      <c r="I2" s="375"/>
    </row>
    <row r="3" spans="1:9" ht="18.75" customHeight="1" x14ac:dyDescent="0.25">
      <c r="A3" s="375"/>
      <c r="B3" s="375"/>
      <c r="C3" s="375"/>
      <c r="D3" s="375"/>
      <c r="E3" s="375"/>
      <c r="F3" s="375"/>
      <c r="G3" s="375"/>
      <c r="H3" s="375"/>
      <c r="I3" s="375"/>
    </row>
    <row r="4" spans="1:9" ht="18.75" customHeight="1" x14ac:dyDescent="0.25">
      <c r="A4" s="375"/>
      <c r="B4" s="375"/>
      <c r="C4" s="375"/>
      <c r="D4" s="375"/>
      <c r="E4" s="375"/>
      <c r="F4" s="375"/>
      <c r="G4" s="375"/>
      <c r="H4" s="375"/>
      <c r="I4" s="375"/>
    </row>
    <row r="5" spans="1:9" ht="18.75" customHeight="1" x14ac:dyDescent="0.25">
      <c r="A5" s="375"/>
      <c r="B5" s="375"/>
      <c r="C5" s="375"/>
      <c r="D5" s="375"/>
      <c r="E5" s="375"/>
      <c r="F5" s="375"/>
      <c r="G5" s="375"/>
      <c r="H5" s="375"/>
      <c r="I5" s="375"/>
    </row>
    <row r="6" spans="1:9" ht="18.75" customHeight="1" x14ac:dyDescent="0.25">
      <c r="A6" s="375"/>
      <c r="B6" s="375"/>
      <c r="C6" s="375"/>
      <c r="D6" s="375"/>
      <c r="E6" s="375"/>
      <c r="F6" s="375"/>
      <c r="G6" s="375"/>
      <c r="H6" s="375"/>
      <c r="I6" s="375"/>
    </row>
    <row r="7" spans="1:9" ht="18.75" customHeight="1" x14ac:dyDescent="0.25">
      <c r="A7" s="375"/>
      <c r="B7" s="375"/>
      <c r="C7" s="375"/>
      <c r="D7" s="375"/>
      <c r="E7" s="375"/>
      <c r="F7" s="375"/>
      <c r="G7" s="375"/>
      <c r="H7" s="375"/>
      <c r="I7" s="375"/>
    </row>
    <row r="8" spans="1:9" x14ac:dyDescent="0.25">
      <c r="A8" s="376" t="s">
        <v>27</v>
      </c>
      <c r="B8" s="376"/>
      <c r="C8" s="376"/>
      <c r="D8" s="376"/>
      <c r="E8" s="376"/>
      <c r="F8" s="376"/>
      <c r="G8" s="376"/>
      <c r="H8" s="376"/>
      <c r="I8" s="376"/>
    </row>
    <row r="9" spans="1:9" x14ac:dyDescent="0.25">
      <c r="A9" s="376"/>
      <c r="B9" s="376"/>
      <c r="C9" s="376"/>
      <c r="D9" s="376"/>
      <c r="E9" s="376"/>
      <c r="F9" s="376"/>
      <c r="G9" s="376"/>
      <c r="H9" s="376"/>
      <c r="I9" s="376"/>
    </row>
    <row r="10" spans="1:9" x14ac:dyDescent="0.25">
      <c r="A10" s="376"/>
      <c r="B10" s="376"/>
      <c r="C10" s="376"/>
      <c r="D10" s="376"/>
      <c r="E10" s="376"/>
      <c r="F10" s="376"/>
      <c r="G10" s="376"/>
      <c r="H10" s="376"/>
      <c r="I10" s="376"/>
    </row>
    <row r="11" spans="1:9" x14ac:dyDescent="0.25">
      <c r="A11" s="376"/>
      <c r="B11" s="376"/>
      <c r="C11" s="376"/>
      <c r="D11" s="376"/>
      <c r="E11" s="376"/>
      <c r="F11" s="376"/>
      <c r="G11" s="376"/>
      <c r="H11" s="376"/>
      <c r="I11" s="376"/>
    </row>
    <row r="12" spans="1:9" x14ac:dyDescent="0.25">
      <c r="A12" s="376"/>
      <c r="B12" s="376"/>
      <c r="C12" s="376"/>
      <c r="D12" s="376"/>
      <c r="E12" s="376"/>
      <c r="F12" s="376"/>
      <c r="G12" s="376"/>
      <c r="H12" s="376"/>
      <c r="I12" s="376"/>
    </row>
    <row r="13" spans="1:9" x14ac:dyDescent="0.25">
      <c r="A13" s="376"/>
      <c r="B13" s="376"/>
      <c r="C13" s="376"/>
      <c r="D13" s="376"/>
      <c r="E13" s="376"/>
      <c r="F13" s="376"/>
      <c r="G13" s="376"/>
      <c r="H13" s="376"/>
      <c r="I13" s="376"/>
    </row>
    <row r="14" spans="1:9" x14ac:dyDescent="0.25">
      <c r="A14" s="376"/>
      <c r="B14" s="376"/>
      <c r="C14" s="376"/>
      <c r="D14" s="376"/>
      <c r="E14" s="376"/>
      <c r="F14" s="376"/>
      <c r="G14" s="376"/>
      <c r="H14" s="376"/>
      <c r="I14" s="376"/>
    </row>
    <row r="15" spans="1:9" ht="19.5" customHeight="1" x14ac:dyDescent="0.3">
      <c r="A15" s="3"/>
    </row>
    <row r="16" spans="1:9" ht="19.5" customHeight="1" x14ac:dyDescent="0.3">
      <c r="A16" s="408" t="s">
        <v>12</v>
      </c>
      <c r="B16" s="409"/>
      <c r="C16" s="409"/>
      <c r="D16" s="409"/>
      <c r="E16" s="409"/>
      <c r="F16" s="409"/>
      <c r="G16" s="409"/>
      <c r="H16" s="410"/>
    </row>
    <row r="17" spans="1:14" ht="20.25" customHeight="1" x14ac:dyDescent="0.25">
      <c r="A17" s="411" t="s">
        <v>28</v>
      </c>
      <c r="B17" s="411"/>
      <c r="C17" s="411"/>
      <c r="D17" s="411"/>
      <c r="E17" s="411"/>
      <c r="F17" s="411"/>
      <c r="G17" s="411"/>
      <c r="H17" s="411"/>
    </row>
    <row r="18" spans="1:14" ht="26.25" customHeight="1" x14ac:dyDescent="0.4">
      <c r="A18" s="5" t="s">
        <v>14</v>
      </c>
      <c r="B18" s="407" t="s">
        <v>2</v>
      </c>
      <c r="C18" s="407"/>
      <c r="D18" s="150"/>
      <c r="E18" s="6"/>
      <c r="F18" s="7"/>
      <c r="G18" s="7"/>
      <c r="H18" s="7"/>
    </row>
    <row r="19" spans="1:14" ht="26.25" customHeight="1" x14ac:dyDescent="0.4">
      <c r="A19" s="5" t="s">
        <v>15</v>
      </c>
      <c r="B19" s="8" t="s">
        <v>118</v>
      </c>
      <c r="C19" s="159">
        <v>1</v>
      </c>
      <c r="D19" s="7"/>
      <c r="E19" s="7"/>
      <c r="F19" s="7"/>
      <c r="G19" s="7"/>
      <c r="H19" s="7"/>
    </row>
    <row r="20" spans="1:14" ht="26.25" customHeight="1" x14ac:dyDescent="0.4">
      <c r="A20" s="5" t="s">
        <v>16</v>
      </c>
      <c r="B20" s="412" t="s">
        <v>117</v>
      </c>
      <c r="C20" s="412"/>
      <c r="D20" s="7"/>
      <c r="E20" s="7"/>
      <c r="F20" s="7"/>
      <c r="G20" s="7"/>
      <c r="H20" s="7"/>
    </row>
    <row r="21" spans="1:14" ht="26.25" customHeight="1" x14ac:dyDescent="0.4">
      <c r="A21" s="5" t="s">
        <v>17</v>
      </c>
      <c r="B21" s="412" t="s">
        <v>116</v>
      </c>
      <c r="C21" s="412"/>
      <c r="D21" s="412"/>
      <c r="E21" s="412"/>
      <c r="F21" s="412"/>
      <c r="G21" s="412"/>
      <c r="H21" s="412"/>
      <c r="I21" s="9"/>
    </row>
    <row r="22" spans="1:14" ht="26.25" customHeight="1" x14ac:dyDescent="0.4">
      <c r="A22" s="5" t="s">
        <v>18</v>
      </c>
      <c r="B22" s="10">
        <v>42761</v>
      </c>
      <c r="C22" s="7"/>
      <c r="D22" s="7"/>
      <c r="E22" s="7"/>
      <c r="F22" s="7"/>
      <c r="G22" s="7"/>
      <c r="H22" s="7"/>
    </row>
    <row r="23" spans="1:14" ht="26.25" customHeight="1" x14ac:dyDescent="0.4">
      <c r="A23" s="5" t="s">
        <v>19</v>
      </c>
      <c r="B23" s="10">
        <v>42762</v>
      </c>
      <c r="C23" s="7"/>
      <c r="D23" s="7"/>
      <c r="E23" s="7"/>
      <c r="F23" s="7"/>
      <c r="G23" s="7"/>
      <c r="H23" s="7"/>
    </row>
    <row r="24" spans="1:14" ht="18.75" x14ac:dyDescent="0.3">
      <c r="A24" s="5"/>
      <c r="B24" s="11"/>
    </row>
    <row r="25" spans="1:14" ht="18.75" x14ac:dyDescent="0.3">
      <c r="A25" s="12" t="s">
        <v>0</v>
      </c>
      <c r="B25" s="11"/>
    </row>
    <row r="26" spans="1:14" ht="26.25" customHeight="1" x14ac:dyDescent="0.4">
      <c r="A26" s="13" t="s">
        <v>1</v>
      </c>
      <c r="B26" s="407" t="s">
        <v>112</v>
      </c>
      <c r="C26" s="407"/>
    </row>
    <row r="27" spans="1:14" ht="26.25" customHeight="1" x14ac:dyDescent="0.4">
      <c r="A27" s="14" t="s">
        <v>29</v>
      </c>
      <c r="B27" s="413" t="s">
        <v>113</v>
      </c>
      <c r="C27" s="413"/>
    </row>
    <row r="28" spans="1:14" ht="27" customHeight="1" x14ac:dyDescent="0.4">
      <c r="A28" s="14" t="s">
        <v>3</v>
      </c>
      <c r="B28" s="15">
        <v>99.3</v>
      </c>
    </row>
    <row r="29" spans="1:14" s="2" customFormat="1" ht="27" customHeight="1" x14ac:dyDescent="0.4">
      <c r="A29" s="14" t="s">
        <v>30</v>
      </c>
      <c r="B29" s="16">
        <v>0</v>
      </c>
      <c r="C29" s="383" t="s">
        <v>31</v>
      </c>
      <c r="D29" s="384"/>
      <c r="E29" s="384"/>
      <c r="F29" s="384"/>
      <c r="G29" s="385"/>
      <c r="I29" s="17"/>
      <c r="J29" s="17"/>
      <c r="K29" s="17"/>
      <c r="L29" s="17"/>
    </row>
    <row r="30" spans="1:14" s="2" customFormat="1" ht="19.5" customHeight="1" x14ac:dyDescent="0.3">
      <c r="A30" s="14" t="s">
        <v>32</v>
      </c>
      <c r="B30" s="18">
        <f>B28-B29</f>
        <v>99.3</v>
      </c>
      <c r="C30" s="19"/>
      <c r="D30" s="19"/>
      <c r="E30" s="19"/>
      <c r="F30" s="19"/>
      <c r="G30" s="20"/>
      <c r="I30" s="17"/>
      <c r="J30" s="17"/>
      <c r="K30" s="17"/>
      <c r="L30" s="17"/>
    </row>
    <row r="31" spans="1:14" s="2" customFormat="1" ht="27" customHeight="1" x14ac:dyDescent="0.4">
      <c r="A31" s="14" t="s">
        <v>33</v>
      </c>
      <c r="B31" s="21">
        <v>1</v>
      </c>
      <c r="C31" s="386" t="s">
        <v>34</v>
      </c>
      <c r="D31" s="387"/>
      <c r="E31" s="387"/>
      <c r="F31" s="387"/>
      <c r="G31" s="387"/>
      <c r="H31" s="388"/>
      <c r="I31" s="17"/>
      <c r="J31" s="17"/>
      <c r="K31" s="17"/>
      <c r="L31" s="17"/>
    </row>
    <row r="32" spans="1:14" s="2" customFormat="1" ht="27" customHeight="1" x14ac:dyDescent="0.4">
      <c r="A32" s="14" t="s">
        <v>35</v>
      </c>
      <c r="B32" s="21">
        <v>1</v>
      </c>
      <c r="C32" s="386" t="s">
        <v>36</v>
      </c>
      <c r="D32" s="387"/>
      <c r="E32" s="387"/>
      <c r="F32" s="387"/>
      <c r="G32" s="387"/>
      <c r="H32" s="388"/>
      <c r="I32" s="17"/>
      <c r="J32" s="17"/>
      <c r="K32" s="17"/>
      <c r="L32" s="22"/>
      <c r="M32" s="22"/>
      <c r="N32" s="23"/>
    </row>
    <row r="33" spans="1:14" s="2" customFormat="1" ht="17.25" customHeight="1" x14ac:dyDescent="0.3">
      <c r="A33" s="14"/>
      <c r="B33" s="24"/>
      <c r="C33" s="25"/>
      <c r="D33" s="25"/>
      <c r="E33" s="25"/>
      <c r="F33" s="25"/>
      <c r="G33" s="25"/>
      <c r="H33" s="25"/>
      <c r="I33" s="17"/>
      <c r="J33" s="17"/>
      <c r="K33" s="17"/>
      <c r="L33" s="22"/>
      <c r="M33" s="22"/>
      <c r="N33" s="23"/>
    </row>
    <row r="34" spans="1:14" s="2" customFormat="1" ht="18.75" x14ac:dyDescent="0.3">
      <c r="A34" s="14" t="s">
        <v>37</v>
      </c>
      <c r="B34" s="26">
        <f>B31/B32</f>
        <v>1</v>
      </c>
      <c r="C34" s="4" t="s">
        <v>38</v>
      </c>
      <c r="D34" s="4"/>
      <c r="E34" s="4"/>
      <c r="F34" s="4"/>
      <c r="G34" s="4"/>
      <c r="I34" s="17"/>
      <c r="J34" s="17"/>
      <c r="K34" s="17"/>
      <c r="L34" s="22"/>
      <c r="M34" s="22"/>
      <c r="N34" s="23"/>
    </row>
    <row r="35" spans="1:14" s="2" customFormat="1" ht="19.5" customHeight="1" x14ac:dyDescent="0.3">
      <c r="A35" s="14"/>
      <c r="B35" s="18"/>
      <c r="G35" s="4"/>
      <c r="I35" s="17"/>
      <c r="J35" s="17"/>
      <c r="K35" s="17"/>
      <c r="L35" s="22"/>
      <c r="M35" s="22"/>
      <c r="N35" s="23"/>
    </row>
    <row r="36" spans="1:14" s="2" customFormat="1" ht="27" customHeight="1" x14ac:dyDescent="0.4">
      <c r="A36" s="27" t="s">
        <v>39</v>
      </c>
      <c r="B36" s="28">
        <v>20</v>
      </c>
      <c r="C36" s="4"/>
      <c r="D36" s="389" t="s">
        <v>40</v>
      </c>
      <c r="E36" s="414"/>
      <c r="F36" s="389" t="s">
        <v>41</v>
      </c>
      <c r="G36" s="390"/>
      <c r="J36" s="17"/>
      <c r="K36" s="17"/>
      <c r="L36" s="22"/>
      <c r="M36" s="22"/>
      <c r="N36" s="23"/>
    </row>
    <row r="37" spans="1:14" s="2" customFormat="1" ht="27" customHeight="1" x14ac:dyDescent="0.4">
      <c r="A37" s="29" t="s">
        <v>42</v>
      </c>
      <c r="B37" s="30">
        <v>4</v>
      </c>
      <c r="C37" s="31" t="s">
        <v>43</v>
      </c>
      <c r="D37" s="32" t="s">
        <v>44</v>
      </c>
      <c r="E37" s="33" t="s">
        <v>45</v>
      </c>
      <c r="F37" s="32" t="s">
        <v>44</v>
      </c>
      <c r="G37" s="34" t="s">
        <v>45</v>
      </c>
      <c r="I37" s="35" t="s">
        <v>46</v>
      </c>
      <c r="J37" s="17"/>
      <c r="K37" s="17"/>
      <c r="L37" s="22"/>
      <c r="M37" s="22"/>
      <c r="N37" s="23"/>
    </row>
    <row r="38" spans="1:14" s="2" customFormat="1" ht="26.25" customHeight="1" x14ac:dyDescent="0.4">
      <c r="A38" s="29" t="s">
        <v>47</v>
      </c>
      <c r="B38" s="30">
        <v>100</v>
      </c>
      <c r="C38" s="36">
        <v>1</v>
      </c>
      <c r="D38" s="37">
        <v>463592</v>
      </c>
      <c r="E38" s="38">
        <f>IF(ISBLANK(D38),"-",$D$48/$D$45*D38)</f>
        <v>481298.98983606894</v>
      </c>
      <c r="F38" s="37">
        <v>493449</v>
      </c>
      <c r="G38" s="39">
        <f>IF(ISBLANK(F38),"-",$D$48/$F$45*F38)</f>
        <v>468247.34270636505</v>
      </c>
      <c r="I38" s="40"/>
      <c r="J38" s="17"/>
      <c r="K38" s="17"/>
      <c r="L38" s="22"/>
      <c r="M38" s="22"/>
      <c r="N38" s="23"/>
    </row>
    <row r="39" spans="1:14" s="2" customFormat="1" ht="26.25" customHeight="1" x14ac:dyDescent="0.4">
      <c r="A39" s="29" t="s">
        <v>48</v>
      </c>
      <c r="B39" s="30">
        <v>1</v>
      </c>
      <c r="C39" s="41">
        <v>2</v>
      </c>
      <c r="D39" s="42">
        <v>461226</v>
      </c>
      <c r="E39" s="43">
        <f>IF(ISBLANK(D39),"-",$D$48/$D$45*D39)</f>
        <v>478842.61998941039</v>
      </c>
      <c r="F39" s="42">
        <v>494400</v>
      </c>
      <c r="G39" s="44">
        <f>IF(ISBLANK(F39),"-",$D$48/$F$45*F39)</f>
        <v>469149.77279116359</v>
      </c>
      <c r="I39" s="391">
        <f>ABS((F43/D43*D42)-F42)/D42</f>
        <v>2.5681311034455988E-2</v>
      </c>
      <c r="J39" s="17"/>
      <c r="K39" s="17"/>
      <c r="L39" s="22"/>
      <c r="M39" s="22"/>
      <c r="N39" s="23"/>
    </row>
    <row r="40" spans="1:14" ht="26.25" customHeight="1" x14ac:dyDescent="0.4">
      <c r="A40" s="29" t="s">
        <v>49</v>
      </c>
      <c r="B40" s="30">
        <v>1</v>
      </c>
      <c r="C40" s="41">
        <v>3</v>
      </c>
      <c r="D40" s="42">
        <v>461961</v>
      </c>
      <c r="E40" s="43">
        <f>IF(ISBLANK(D40),"-",$D$48/$D$45*D40)</f>
        <v>479605.69346248481</v>
      </c>
      <c r="F40" s="42">
        <v>493773</v>
      </c>
      <c r="G40" s="44">
        <f>IF(ISBLANK(F40),"-",$D$48/$F$45*F40)</f>
        <v>468554.795227369</v>
      </c>
      <c r="I40" s="391"/>
      <c r="L40" s="22"/>
      <c r="M40" s="22"/>
      <c r="N40" s="45"/>
    </row>
    <row r="41" spans="1:14" ht="27" customHeight="1" x14ac:dyDescent="0.4">
      <c r="A41" s="29" t="s">
        <v>50</v>
      </c>
      <c r="B41" s="30">
        <v>1</v>
      </c>
      <c r="C41" s="46">
        <v>4</v>
      </c>
      <c r="D41" s="47"/>
      <c r="E41" s="48" t="str">
        <f>IF(ISBLANK(D41),"-",$D$48/$D$45*D41)</f>
        <v>-</v>
      </c>
      <c r="F41" s="47"/>
      <c r="G41" s="49" t="str">
        <f>IF(ISBLANK(F41),"-",$D$48/$F$45*F41)</f>
        <v>-</v>
      </c>
      <c r="I41" s="50"/>
      <c r="L41" s="22"/>
      <c r="M41" s="22"/>
      <c r="N41" s="45"/>
    </row>
    <row r="42" spans="1:14" ht="27" customHeight="1" x14ac:dyDescent="0.4">
      <c r="A42" s="29" t="s">
        <v>51</v>
      </c>
      <c r="B42" s="30">
        <v>1</v>
      </c>
      <c r="C42" s="51" t="s">
        <v>52</v>
      </c>
      <c r="D42" s="52">
        <f>AVERAGE(D38:D41)</f>
        <v>462259.66666666669</v>
      </c>
      <c r="E42" s="53">
        <f>AVERAGE(E38:E41)</f>
        <v>479915.76776265469</v>
      </c>
      <c r="F42" s="52">
        <f>AVERAGE(F38:F41)</f>
        <v>493874</v>
      </c>
      <c r="G42" s="54">
        <f>AVERAGE(G38:G41)</f>
        <v>468650.63690829923</v>
      </c>
      <c r="H42" s="55"/>
    </row>
    <row r="43" spans="1:14" ht="26.25" customHeight="1" x14ac:dyDescent="0.4">
      <c r="A43" s="29" t="s">
        <v>53</v>
      </c>
      <c r="B43" s="30">
        <v>1</v>
      </c>
      <c r="C43" s="56" t="s">
        <v>54</v>
      </c>
      <c r="D43" s="57">
        <v>15.52</v>
      </c>
      <c r="E43" s="45"/>
      <c r="F43" s="57">
        <v>16.98</v>
      </c>
      <c r="H43" s="55"/>
    </row>
    <row r="44" spans="1:14" ht="26.25" customHeight="1" x14ac:dyDescent="0.4">
      <c r="A44" s="29" t="s">
        <v>55</v>
      </c>
      <c r="B44" s="30">
        <v>1</v>
      </c>
      <c r="C44" s="58" t="s">
        <v>56</v>
      </c>
      <c r="D44" s="59">
        <f>D43*$B$34</f>
        <v>15.52</v>
      </c>
      <c r="E44" s="60"/>
      <c r="F44" s="59">
        <f>F43*$B$34</f>
        <v>16.98</v>
      </c>
      <c r="H44" s="55"/>
    </row>
    <row r="45" spans="1:14" ht="19.5" customHeight="1" x14ac:dyDescent="0.3">
      <c r="A45" s="29" t="s">
        <v>57</v>
      </c>
      <c r="B45" s="61">
        <f>(B44/B43)*(B42/B41)*(B40/B39)*(B38/B37)*B36</f>
        <v>500</v>
      </c>
      <c r="C45" s="58" t="s">
        <v>58</v>
      </c>
      <c r="D45" s="62">
        <f>D44*$B$30/100</f>
        <v>15.41136</v>
      </c>
      <c r="E45" s="63"/>
      <c r="F45" s="62">
        <f>F44*$B$30/100</f>
        <v>16.861139999999999</v>
      </c>
      <c r="H45" s="55"/>
    </row>
    <row r="46" spans="1:14" ht="19.5" customHeight="1" x14ac:dyDescent="0.3">
      <c r="A46" s="377" t="s">
        <v>59</v>
      </c>
      <c r="B46" s="378"/>
      <c r="C46" s="58" t="s">
        <v>60</v>
      </c>
      <c r="D46" s="64">
        <f>D45/$B$45</f>
        <v>3.0822720000000001E-2</v>
      </c>
      <c r="E46" s="65"/>
      <c r="F46" s="66">
        <f>F45/$B$45</f>
        <v>3.372228E-2</v>
      </c>
      <c r="H46" s="55"/>
    </row>
    <row r="47" spans="1:14" ht="27" customHeight="1" x14ac:dyDescent="0.4">
      <c r="A47" s="379"/>
      <c r="B47" s="380"/>
      <c r="C47" s="67" t="s">
        <v>61</v>
      </c>
      <c r="D47" s="68">
        <v>3.2000000000000001E-2</v>
      </c>
      <c r="E47" s="69"/>
      <c r="F47" s="65"/>
      <c r="H47" s="55"/>
    </row>
    <row r="48" spans="1:14" ht="18.75" x14ac:dyDescent="0.3">
      <c r="C48" s="70" t="s">
        <v>62</v>
      </c>
      <c r="D48" s="62">
        <f>D47*$B$45</f>
        <v>16</v>
      </c>
      <c r="F48" s="71"/>
      <c r="H48" s="55"/>
    </row>
    <row r="49" spans="1:12" ht="19.5" customHeight="1" x14ac:dyDescent="0.3">
      <c r="C49" s="72" t="s">
        <v>63</v>
      </c>
      <c r="D49" s="73">
        <f>D48/B34</f>
        <v>16</v>
      </c>
      <c r="F49" s="71"/>
      <c r="H49" s="55"/>
    </row>
    <row r="50" spans="1:12" ht="18.75" x14ac:dyDescent="0.3">
      <c r="C50" s="27" t="s">
        <v>64</v>
      </c>
      <c r="D50" s="74">
        <f>AVERAGE(E38:E41,G38:G41)</f>
        <v>474283.20233547693</v>
      </c>
      <c r="F50" s="75"/>
      <c r="H50" s="55"/>
    </row>
    <row r="51" spans="1:12" ht="18.75" x14ac:dyDescent="0.3">
      <c r="C51" s="29" t="s">
        <v>65</v>
      </c>
      <c r="D51" s="76">
        <f>STDEV(E38:E41,G38:G41)/D50</f>
        <v>1.3131290026618808E-2</v>
      </c>
      <c r="F51" s="75"/>
      <c r="H51" s="55"/>
    </row>
    <row r="52" spans="1:12" ht="19.5" customHeight="1" x14ac:dyDescent="0.3">
      <c r="C52" s="77" t="s">
        <v>6</v>
      </c>
      <c r="D52" s="78">
        <f>COUNT(E38:E41,G38:G41)</f>
        <v>6</v>
      </c>
      <c r="F52" s="75"/>
    </row>
    <row r="54" spans="1:12" ht="18.75" x14ac:dyDescent="0.3">
      <c r="A54" s="79" t="s">
        <v>0</v>
      </c>
      <c r="B54" s="80" t="s">
        <v>66</v>
      </c>
    </row>
    <row r="55" spans="1:12" ht="18.75" x14ac:dyDescent="0.3">
      <c r="A55" s="4" t="s">
        <v>67</v>
      </c>
      <c r="B55" s="81" t="str">
        <f>B21</f>
        <v>Each tablet contains  Trimethoprim 160 mg</v>
      </c>
    </row>
    <row r="56" spans="1:12" ht="26.25" customHeight="1" x14ac:dyDescent="0.4">
      <c r="A56" s="82" t="s">
        <v>68</v>
      </c>
      <c r="B56" s="83">
        <v>160</v>
      </c>
      <c r="C56" s="4" t="str">
        <f>B20</f>
        <v>Trimethoprim BP</v>
      </c>
      <c r="H56" s="84"/>
    </row>
    <row r="57" spans="1:12" ht="18.75" x14ac:dyDescent="0.3">
      <c r="A57" s="81" t="s">
        <v>69</v>
      </c>
      <c r="B57" s="151">
        <f>Uniformity!C46</f>
        <v>1082.2739999999999</v>
      </c>
      <c r="H57" s="84"/>
    </row>
    <row r="58" spans="1:12" ht="19.5" customHeight="1" x14ac:dyDescent="0.3">
      <c r="H58" s="84"/>
    </row>
    <row r="59" spans="1:12" s="2" customFormat="1" ht="27" customHeight="1" x14ac:dyDescent="0.4">
      <c r="A59" s="27" t="s">
        <v>70</v>
      </c>
      <c r="B59" s="28">
        <v>100</v>
      </c>
      <c r="C59" s="4"/>
      <c r="D59" s="85" t="s">
        <v>71</v>
      </c>
      <c r="E59" s="86" t="s">
        <v>43</v>
      </c>
      <c r="F59" s="86" t="s">
        <v>44</v>
      </c>
      <c r="G59" s="86" t="s">
        <v>72</v>
      </c>
      <c r="H59" s="31" t="s">
        <v>73</v>
      </c>
      <c r="L59" s="17"/>
    </row>
    <row r="60" spans="1:12" s="2" customFormat="1" ht="26.25" customHeight="1" x14ac:dyDescent="0.4">
      <c r="A60" s="29" t="s">
        <v>74</v>
      </c>
      <c r="B60" s="30">
        <v>2</v>
      </c>
      <c r="C60" s="394" t="s">
        <v>75</v>
      </c>
      <c r="D60" s="397">
        <v>1073.3800000000001</v>
      </c>
      <c r="E60" s="87">
        <v>1</v>
      </c>
      <c r="F60" s="88">
        <v>477440</v>
      </c>
      <c r="G60" s="152">
        <f>IF(ISBLANK(F60),"-",(F60/$D$50*$D$47*$B$68)*($B$57/$D$60))</f>
        <v>162.39952959825501</v>
      </c>
      <c r="H60" s="170">
        <f t="shared" ref="H60:H71" si="0">IF(ISBLANK(F60),"-",(G60/$B$56)*100)</f>
        <v>101.49970599890938</v>
      </c>
      <c r="L60" s="17"/>
    </row>
    <row r="61" spans="1:12" s="2" customFormat="1" ht="26.25" customHeight="1" x14ac:dyDescent="0.4">
      <c r="A61" s="29" t="s">
        <v>76</v>
      </c>
      <c r="B61" s="30">
        <v>100</v>
      </c>
      <c r="C61" s="395"/>
      <c r="D61" s="398"/>
      <c r="E61" s="89">
        <v>2</v>
      </c>
      <c r="F61" s="42">
        <v>472763</v>
      </c>
      <c r="G61" s="153">
        <f>IF(ISBLANK(F61),"-",(F61/$D$50*$D$47*$B$68)*($B$57/$D$60))</f>
        <v>160.80866456823861</v>
      </c>
      <c r="H61" s="171">
        <f t="shared" si="0"/>
        <v>100.50541535514914</v>
      </c>
      <c r="L61" s="17"/>
    </row>
    <row r="62" spans="1:12" s="2" customFormat="1" ht="26.25" customHeight="1" x14ac:dyDescent="0.4">
      <c r="A62" s="29" t="s">
        <v>77</v>
      </c>
      <c r="B62" s="30">
        <v>1</v>
      </c>
      <c r="C62" s="395"/>
      <c r="D62" s="398"/>
      <c r="E62" s="89">
        <v>3</v>
      </c>
      <c r="F62" s="90">
        <v>476442</v>
      </c>
      <c r="G62" s="153">
        <f>IF(ISBLANK(F62),"-",(F62/$D$50*$D$47*$B$68)*($B$57/$D$60))</f>
        <v>162.0600634233659</v>
      </c>
      <c r="H62" s="171">
        <f t="shared" si="0"/>
        <v>101.28753963960368</v>
      </c>
      <c r="L62" s="17"/>
    </row>
    <row r="63" spans="1:12" ht="27" customHeight="1" x14ac:dyDescent="0.4">
      <c r="A63" s="29" t="s">
        <v>78</v>
      </c>
      <c r="B63" s="30">
        <v>1</v>
      </c>
      <c r="C63" s="404"/>
      <c r="D63" s="399"/>
      <c r="E63" s="91">
        <v>4</v>
      </c>
      <c r="F63" s="92"/>
      <c r="G63" s="153" t="str">
        <f>IF(ISBLANK(F63),"-",(F63/$D$50*$D$47*$B$68)*($B$57/$D$60))</f>
        <v>-</v>
      </c>
      <c r="H63" s="171" t="str">
        <f t="shared" si="0"/>
        <v>-</v>
      </c>
    </row>
    <row r="64" spans="1:12" ht="26.25" customHeight="1" x14ac:dyDescent="0.4">
      <c r="A64" s="29" t="s">
        <v>79</v>
      </c>
      <c r="B64" s="30">
        <v>1</v>
      </c>
      <c r="C64" s="394" t="s">
        <v>80</v>
      </c>
      <c r="D64" s="397">
        <v>1077.9100000000001</v>
      </c>
      <c r="E64" s="87">
        <v>1</v>
      </c>
      <c r="F64" s="88">
        <v>475351</v>
      </c>
      <c r="G64" s="152">
        <f>IF(ISBLANK(F64),"-",(F64/$D$50*$D$47*$B$68)*($B$57/$D$64))</f>
        <v>161.00945327338653</v>
      </c>
      <c r="H64" s="170">
        <f t="shared" si="0"/>
        <v>100.63090829586659</v>
      </c>
    </row>
    <row r="65" spans="1:8" ht="26.25" customHeight="1" x14ac:dyDescent="0.4">
      <c r="A65" s="29" t="s">
        <v>81</v>
      </c>
      <c r="B65" s="30">
        <v>1</v>
      </c>
      <c r="C65" s="395"/>
      <c r="D65" s="398"/>
      <c r="E65" s="89">
        <v>2</v>
      </c>
      <c r="F65" s="42">
        <v>479620</v>
      </c>
      <c r="G65" s="153">
        <f>IF(ISBLANK(F65),"-",(F65/$D$50*$D$47*$B$68)*($B$57/$D$64))</f>
        <v>162.45543604406359</v>
      </c>
      <c r="H65" s="171">
        <f t="shared" si="0"/>
        <v>101.53464752753973</v>
      </c>
    </row>
    <row r="66" spans="1:8" ht="26.25" customHeight="1" x14ac:dyDescent="0.4">
      <c r="A66" s="29" t="s">
        <v>82</v>
      </c>
      <c r="B66" s="30">
        <v>1</v>
      </c>
      <c r="C66" s="395"/>
      <c r="D66" s="398"/>
      <c r="E66" s="89">
        <v>3</v>
      </c>
      <c r="F66" s="42">
        <v>480484</v>
      </c>
      <c r="G66" s="153">
        <f>IF(ISBLANK(F66),"-",(F66/$D$50*$D$47*$B$68)*($B$57/$D$64))</f>
        <v>162.74808751135447</v>
      </c>
      <c r="H66" s="171">
        <f t="shared" si="0"/>
        <v>101.71755469459653</v>
      </c>
    </row>
    <row r="67" spans="1:8" ht="27" customHeight="1" x14ac:dyDescent="0.4">
      <c r="A67" s="29" t="s">
        <v>83</v>
      </c>
      <c r="B67" s="30">
        <v>1</v>
      </c>
      <c r="C67" s="404"/>
      <c r="D67" s="399"/>
      <c r="E67" s="91">
        <v>4</v>
      </c>
      <c r="F67" s="92"/>
      <c r="G67" s="169" t="str">
        <f>IF(ISBLANK(F67),"-",(F67/$D$50*$D$47*$B$68)*($B$57/$D$64))</f>
        <v>-</v>
      </c>
      <c r="H67" s="172" t="str">
        <f t="shared" si="0"/>
        <v>-</v>
      </c>
    </row>
    <row r="68" spans="1:8" ht="26.25" customHeight="1" x14ac:dyDescent="0.4">
      <c r="A68" s="29" t="s">
        <v>84</v>
      </c>
      <c r="B68" s="93">
        <f>(B67/B66)*(B65/B64)*(B63/B62)*(B61/B60)*B59</f>
        <v>5000</v>
      </c>
      <c r="C68" s="394" t="s">
        <v>85</v>
      </c>
      <c r="D68" s="397">
        <v>1077.29</v>
      </c>
      <c r="E68" s="87">
        <v>1</v>
      </c>
      <c r="F68" s="88">
        <v>465285</v>
      </c>
      <c r="G68" s="152">
        <f>IF(ISBLANK(F68),"-",(F68/$D$50*$D$47*$B$68)*($B$57/$D$68))</f>
        <v>157.69062981940502</v>
      </c>
      <c r="H68" s="171">
        <f t="shared" si="0"/>
        <v>98.556643637128133</v>
      </c>
    </row>
    <row r="69" spans="1:8" ht="27" customHeight="1" x14ac:dyDescent="0.4">
      <c r="A69" s="77" t="s">
        <v>86</v>
      </c>
      <c r="B69" s="94">
        <f>(D47*B68)/B56*B57</f>
        <v>1082.2739999999999</v>
      </c>
      <c r="C69" s="395"/>
      <c r="D69" s="398"/>
      <c r="E69" s="89">
        <v>2</v>
      </c>
      <c r="F69" s="42">
        <v>471366</v>
      </c>
      <c r="G69" s="153">
        <f>IF(ISBLANK(F69),"-",(F69/$D$50*$D$47*$B$68)*($B$57/$D$68))</f>
        <v>159.75155316731394</v>
      </c>
      <c r="H69" s="171">
        <f t="shared" si="0"/>
        <v>99.844720729571208</v>
      </c>
    </row>
    <row r="70" spans="1:8" ht="26.25" customHeight="1" x14ac:dyDescent="0.4">
      <c r="A70" s="400" t="s">
        <v>59</v>
      </c>
      <c r="B70" s="401"/>
      <c r="C70" s="395"/>
      <c r="D70" s="398"/>
      <c r="E70" s="89">
        <v>3</v>
      </c>
      <c r="F70" s="42">
        <v>466552</v>
      </c>
      <c r="G70" s="153">
        <f>IF(ISBLANK(F70),"-",(F70/$D$50*$D$47*$B$68)*($B$57/$D$68))</f>
        <v>158.12003121420861</v>
      </c>
      <c r="H70" s="171">
        <f t="shared" si="0"/>
        <v>98.825019508880388</v>
      </c>
    </row>
    <row r="71" spans="1:8" ht="27" customHeight="1" x14ac:dyDescent="0.4">
      <c r="A71" s="402"/>
      <c r="B71" s="403"/>
      <c r="C71" s="396"/>
      <c r="D71" s="399"/>
      <c r="E71" s="91">
        <v>4</v>
      </c>
      <c r="F71" s="92"/>
      <c r="G71" s="169" t="str">
        <f>IF(ISBLANK(F71),"-",(F71/$D$50*$D$47*$B$68)*($B$57/$D$68))</f>
        <v>-</v>
      </c>
      <c r="H71" s="172" t="str">
        <f t="shared" si="0"/>
        <v>-</v>
      </c>
    </row>
    <row r="72" spans="1:8" ht="26.25" customHeight="1" x14ac:dyDescent="0.4">
      <c r="A72" s="95"/>
      <c r="B72" s="95"/>
      <c r="C72" s="95"/>
      <c r="D72" s="95"/>
      <c r="E72" s="95"/>
      <c r="F72" s="97" t="s">
        <v>52</v>
      </c>
      <c r="G72" s="158">
        <f>AVERAGE(G60:G71)</f>
        <v>160.78260540217687</v>
      </c>
      <c r="H72" s="173">
        <f>AVERAGE(H60:H71)</f>
        <v>100.48912837636053</v>
      </c>
    </row>
    <row r="73" spans="1:8" ht="26.25" customHeight="1" x14ac:dyDescent="0.4">
      <c r="C73" s="95"/>
      <c r="D73" s="95"/>
      <c r="E73" s="95"/>
      <c r="F73" s="98" t="s">
        <v>65</v>
      </c>
      <c r="G73" s="157">
        <f>STDEV(G60:G71)/G72</f>
        <v>1.1774699706533708E-2</v>
      </c>
      <c r="H73" s="157">
        <f>STDEV(H60:H71)/H72</f>
        <v>1.1774699706533664E-2</v>
      </c>
    </row>
    <row r="74" spans="1:8" ht="27" customHeight="1" x14ac:dyDescent="0.4">
      <c r="A74" s="95"/>
      <c r="B74" s="95"/>
      <c r="C74" s="96"/>
      <c r="D74" s="96"/>
      <c r="E74" s="99"/>
      <c r="F74" s="100" t="s">
        <v>6</v>
      </c>
      <c r="G74" s="101">
        <f>COUNT(G60:G71)</f>
        <v>9</v>
      </c>
      <c r="H74" s="101">
        <f>COUNT(H60:H71)</f>
        <v>9</v>
      </c>
    </row>
    <row r="76" spans="1:8" ht="26.25" customHeight="1" x14ac:dyDescent="0.4">
      <c r="A76" s="13" t="s">
        <v>87</v>
      </c>
      <c r="B76" s="102" t="s">
        <v>88</v>
      </c>
      <c r="C76" s="381" t="str">
        <f>B26</f>
        <v>Trimethoprim</v>
      </c>
      <c r="D76" s="381"/>
      <c r="E76" s="103" t="s">
        <v>89</v>
      </c>
      <c r="F76" s="103"/>
      <c r="G76" s="104">
        <f>H72</f>
        <v>100.48912837636053</v>
      </c>
      <c r="H76" s="105"/>
    </row>
    <row r="77" spans="1:8" ht="18.75" x14ac:dyDescent="0.3">
      <c r="A77" s="12" t="s">
        <v>90</v>
      </c>
      <c r="B77" s="12" t="s">
        <v>91</v>
      </c>
    </row>
    <row r="78" spans="1:8" ht="18.75" x14ac:dyDescent="0.3">
      <c r="A78" s="12"/>
      <c r="B78" s="12"/>
    </row>
    <row r="79" spans="1:8" ht="26.25" customHeight="1" x14ac:dyDescent="0.4">
      <c r="A79" s="13" t="s">
        <v>1</v>
      </c>
      <c r="B79" s="415" t="str">
        <f>B26</f>
        <v>Trimethoprim</v>
      </c>
      <c r="C79" s="415"/>
    </row>
    <row r="80" spans="1:8" ht="26.25" customHeight="1" x14ac:dyDescent="0.4">
      <c r="A80" s="14" t="s">
        <v>29</v>
      </c>
      <c r="B80" s="415" t="str">
        <f>B27</f>
        <v>T7 4</v>
      </c>
      <c r="C80" s="415"/>
    </row>
    <row r="81" spans="1:12" ht="27" customHeight="1" x14ac:dyDescent="0.4">
      <c r="A81" s="14" t="s">
        <v>3</v>
      </c>
      <c r="B81" s="106">
        <f>B28</f>
        <v>99.3</v>
      </c>
    </row>
    <row r="82" spans="1:12" s="2" customFormat="1" ht="27" customHeight="1" x14ac:dyDescent="0.4">
      <c r="A82" s="14" t="s">
        <v>30</v>
      </c>
      <c r="B82" s="16">
        <v>0</v>
      </c>
      <c r="C82" s="383" t="s">
        <v>31</v>
      </c>
      <c r="D82" s="384"/>
      <c r="E82" s="384"/>
      <c r="F82" s="384"/>
      <c r="G82" s="385"/>
      <c r="I82" s="17"/>
      <c r="J82" s="17"/>
      <c r="K82" s="17"/>
      <c r="L82" s="17"/>
    </row>
    <row r="83" spans="1:12" s="2" customFormat="1" ht="19.5" customHeight="1" x14ac:dyDescent="0.3">
      <c r="A83" s="14" t="s">
        <v>32</v>
      </c>
      <c r="B83" s="18">
        <f>B81-B82</f>
        <v>99.3</v>
      </c>
      <c r="C83" s="19"/>
      <c r="D83" s="19"/>
      <c r="E83" s="19"/>
      <c r="F83" s="19"/>
      <c r="G83" s="20"/>
      <c r="I83" s="17"/>
      <c r="J83" s="17"/>
      <c r="K83" s="17"/>
      <c r="L83" s="17"/>
    </row>
    <row r="84" spans="1:12" s="2" customFormat="1" ht="27" customHeight="1" x14ac:dyDescent="0.4">
      <c r="A84" s="14" t="s">
        <v>33</v>
      </c>
      <c r="B84" s="21">
        <v>1</v>
      </c>
      <c r="C84" s="386" t="s">
        <v>92</v>
      </c>
      <c r="D84" s="387"/>
      <c r="E84" s="387"/>
      <c r="F84" s="387"/>
      <c r="G84" s="387"/>
      <c r="H84" s="388"/>
      <c r="I84" s="17"/>
      <c r="J84" s="17"/>
      <c r="K84" s="17"/>
      <c r="L84" s="17"/>
    </row>
    <row r="85" spans="1:12" s="2" customFormat="1" ht="27" customHeight="1" x14ac:dyDescent="0.4">
      <c r="A85" s="14" t="s">
        <v>35</v>
      </c>
      <c r="B85" s="21">
        <v>1</v>
      </c>
      <c r="C85" s="386" t="s">
        <v>93</v>
      </c>
      <c r="D85" s="387"/>
      <c r="E85" s="387"/>
      <c r="F85" s="387"/>
      <c r="G85" s="387"/>
      <c r="H85" s="388"/>
      <c r="I85" s="17"/>
      <c r="J85" s="17"/>
      <c r="K85" s="17"/>
      <c r="L85" s="17"/>
    </row>
    <row r="86" spans="1:12" s="2" customFormat="1" ht="18.75" x14ac:dyDescent="0.3">
      <c r="A86" s="14"/>
      <c r="B86" s="24"/>
      <c r="C86" s="25"/>
      <c r="D86" s="25"/>
      <c r="E86" s="25"/>
      <c r="F86" s="25"/>
      <c r="G86" s="25"/>
      <c r="H86" s="25"/>
      <c r="I86" s="17"/>
      <c r="J86" s="17"/>
      <c r="K86" s="17"/>
      <c r="L86" s="17"/>
    </row>
    <row r="87" spans="1:12" s="2" customFormat="1" ht="18.75" x14ac:dyDescent="0.3">
      <c r="A87" s="14" t="s">
        <v>37</v>
      </c>
      <c r="B87" s="26">
        <f>B84/B85</f>
        <v>1</v>
      </c>
      <c r="C87" s="4" t="s">
        <v>38</v>
      </c>
      <c r="D87" s="4"/>
      <c r="E87" s="4"/>
      <c r="F87" s="4"/>
      <c r="G87" s="4"/>
      <c r="I87" s="17"/>
      <c r="J87" s="17"/>
      <c r="K87" s="17"/>
      <c r="L87" s="17"/>
    </row>
    <row r="88" spans="1:12" ht="19.5" customHeight="1" x14ac:dyDescent="0.3">
      <c r="A88" s="12"/>
      <c r="B88" s="12"/>
    </row>
    <row r="89" spans="1:12" ht="27" customHeight="1" x14ac:dyDescent="0.4">
      <c r="A89" s="27" t="s">
        <v>39</v>
      </c>
      <c r="B89" s="28">
        <v>20</v>
      </c>
      <c r="D89" s="107" t="s">
        <v>40</v>
      </c>
      <c r="E89" s="108"/>
      <c r="F89" s="389" t="s">
        <v>41</v>
      </c>
      <c r="G89" s="390"/>
    </row>
    <row r="90" spans="1:12" ht="27" customHeight="1" x14ac:dyDescent="0.4">
      <c r="A90" s="29" t="s">
        <v>42</v>
      </c>
      <c r="B90" s="30">
        <v>4</v>
      </c>
      <c r="C90" s="109" t="s">
        <v>43</v>
      </c>
      <c r="D90" s="32" t="s">
        <v>44</v>
      </c>
      <c r="E90" s="33" t="s">
        <v>45</v>
      </c>
      <c r="F90" s="32" t="s">
        <v>44</v>
      </c>
      <c r="G90" s="110" t="s">
        <v>45</v>
      </c>
      <c r="I90" s="35" t="s">
        <v>46</v>
      </c>
    </row>
    <row r="91" spans="1:12" ht="26.25" customHeight="1" x14ac:dyDescent="0.4">
      <c r="A91" s="29" t="s">
        <v>47</v>
      </c>
      <c r="B91" s="30">
        <v>100</v>
      </c>
      <c r="C91" s="111">
        <v>1</v>
      </c>
      <c r="D91" s="223">
        <v>463592</v>
      </c>
      <c r="E91" s="38">
        <f>IF(ISBLANK(D91),"-",$D$101/$D$98*D91)</f>
        <v>534776.65537340997</v>
      </c>
      <c r="F91" s="223">
        <v>493449</v>
      </c>
      <c r="G91" s="39">
        <f>IF(ISBLANK(F91),"-",$D$101/$F$98*F91)</f>
        <v>520274.82522929454</v>
      </c>
      <c r="I91" s="40"/>
    </row>
    <row r="92" spans="1:12" ht="26.25" customHeight="1" x14ac:dyDescent="0.4">
      <c r="A92" s="29" t="s">
        <v>48</v>
      </c>
      <c r="B92" s="30">
        <v>1</v>
      </c>
      <c r="C92" s="96">
        <v>2</v>
      </c>
      <c r="D92" s="228">
        <v>461226</v>
      </c>
      <c r="E92" s="43">
        <f>IF(ISBLANK(D92),"-",$D$101/$D$98*D92)</f>
        <v>532047.35554378934</v>
      </c>
      <c r="F92" s="228">
        <v>494400</v>
      </c>
      <c r="G92" s="44">
        <f>IF(ISBLANK(F92),"-",$D$101/$F$98*F92)</f>
        <v>521277.52532351518</v>
      </c>
      <c r="I92" s="391">
        <f>ABS((F96/D96*D95)-F95)/D95</f>
        <v>2.5681311034455988E-2</v>
      </c>
    </row>
    <row r="93" spans="1:12" ht="26.25" customHeight="1" x14ac:dyDescent="0.4">
      <c r="A93" s="29" t="s">
        <v>49</v>
      </c>
      <c r="B93" s="30">
        <v>1</v>
      </c>
      <c r="C93" s="96">
        <v>3</v>
      </c>
      <c r="D93" s="228">
        <v>461961</v>
      </c>
      <c r="E93" s="43">
        <f>IF(ISBLANK(D93),"-",$D$101/$D$98*D93)</f>
        <v>532895.21495831653</v>
      </c>
      <c r="F93" s="228">
        <v>493773</v>
      </c>
      <c r="G93" s="44">
        <f>IF(ISBLANK(F93),"-",$D$101/$F$98*F93)</f>
        <v>520616.43914152111</v>
      </c>
      <c r="I93" s="391"/>
    </row>
    <row r="94" spans="1:12" ht="27" customHeight="1" x14ac:dyDescent="0.4">
      <c r="A94" s="29" t="s">
        <v>50</v>
      </c>
      <c r="B94" s="30">
        <v>1</v>
      </c>
      <c r="C94" s="112">
        <v>4</v>
      </c>
      <c r="D94" s="233"/>
      <c r="E94" s="48" t="str">
        <f>IF(ISBLANK(D94),"-",$D$101/$D$98*D94)</f>
        <v>-</v>
      </c>
      <c r="F94" s="233"/>
      <c r="G94" s="49" t="str">
        <f>IF(ISBLANK(F94),"-",$D$101/$F$98*F94)</f>
        <v>-</v>
      </c>
      <c r="I94" s="50"/>
    </row>
    <row r="95" spans="1:12" ht="27" customHeight="1" x14ac:dyDescent="0.4">
      <c r="A95" s="29" t="s">
        <v>51</v>
      </c>
      <c r="B95" s="30">
        <v>1</v>
      </c>
      <c r="C95" s="113" t="s">
        <v>52</v>
      </c>
      <c r="D95" s="114">
        <f>AVERAGE(D91:D94)</f>
        <v>462259.66666666669</v>
      </c>
      <c r="E95" s="53">
        <f>AVERAGE(E91:E94)</f>
        <v>533239.74195850536</v>
      </c>
      <c r="F95" s="115">
        <f>AVERAGE(F91:F94)</f>
        <v>493874</v>
      </c>
      <c r="G95" s="116">
        <f>AVERAGE(G91:G94)</f>
        <v>520722.92989811022</v>
      </c>
    </row>
    <row r="96" spans="1:12" ht="26.25" customHeight="1" x14ac:dyDescent="0.4">
      <c r="A96" s="29" t="s">
        <v>53</v>
      </c>
      <c r="B96" s="15">
        <v>1</v>
      </c>
      <c r="C96" s="117" t="s">
        <v>94</v>
      </c>
      <c r="D96" s="118">
        <f>D43</f>
        <v>15.52</v>
      </c>
      <c r="E96" s="45"/>
      <c r="F96" s="57">
        <f>F43</f>
        <v>16.98</v>
      </c>
    </row>
    <row r="97" spans="1:10" ht="26.25" customHeight="1" x14ac:dyDescent="0.4">
      <c r="A97" s="29" t="s">
        <v>55</v>
      </c>
      <c r="B97" s="15">
        <v>1</v>
      </c>
      <c r="C97" s="119" t="s">
        <v>95</v>
      </c>
      <c r="D97" s="120">
        <f>D96*$B$87</f>
        <v>15.52</v>
      </c>
      <c r="E97" s="60"/>
      <c r="F97" s="59">
        <f>F96*$B$87</f>
        <v>16.98</v>
      </c>
    </row>
    <row r="98" spans="1:10" ht="19.5" customHeight="1" x14ac:dyDescent="0.3">
      <c r="A98" s="29" t="s">
        <v>57</v>
      </c>
      <c r="B98" s="121">
        <f>(B97/B96)*(B95/B94)*(B93/B92)*(B91/B90)*B89</f>
        <v>500</v>
      </c>
      <c r="C98" s="119" t="s">
        <v>96</v>
      </c>
      <c r="D98" s="122">
        <f>D97*$B$83/100</f>
        <v>15.41136</v>
      </c>
      <c r="E98" s="63"/>
      <c r="F98" s="62">
        <f>F97*$B$83/100</f>
        <v>16.861139999999999</v>
      </c>
    </row>
    <row r="99" spans="1:10" ht="19.5" customHeight="1" x14ac:dyDescent="0.3">
      <c r="A99" s="377" t="s">
        <v>59</v>
      </c>
      <c r="B99" s="392"/>
      <c r="C99" s="119" t="s">
        <v>97</v>
      </c>
      <c r="D99" s="123">
        <f>D98/$B$98</f>
        <v>3.0822720000000001E-2</v>
      </c>
      <c r="E99" s="63"/>
      <c r="F99" s="66">
        <f>F98/$B$98</f>
        <v>3.372228E-2</v>
      </c>
      <c r="G99" s="124"/>
      <c r="H99" s="55"/>
    </row>
    <row r="100" spans="1:10" ht="19.5" customHeight="1" x14ac:dyDescent="0.3">
      <c r="A100" s="379"/>
      <c r="B100" s="393"/>
      <c r="C100" s="119" t="s">
        <v>61</v>
      </c>
      <c r="D100" s="125">
        <f>$B$56/$B$116</f>
        <v>3.5555555555555556E-2</v>
      </c>
      <c r="F100" s="71"/>
      <c r="G100" s="126"/>
      <c r="H100" s="55"/>
    </row>
    <row r="101" spans="1:10" ht="18.75" x14ac:dyDescent="0.3">
      <c r="C101" s="119" t="s">
        <v>62</v>
      </c>
      <c r="D101" s="120">
        <f>D100*$B$98</f>
        <v>17.777777777777779</v>
      </c>
      <c r="F101" s="71"/>
      <c r="G101" s="124"/>
      <c r="H101" s="55"/>
    </row>
    <row r="102" spans="1:10" ht="19.5" customHeight="1" x14ac:dyDescent="0.3">
      <c r="C102" s="127" t="s">
        <v>63</v>
      </c>
      <c r="D102" s="128">
        <f>D101/B34</f>
        <v>17.777777777777779</v>
      </c>
      <c r="F102" s="75"/>
      <c r="G102" s="124"/>
      <c r="H102" s="55"/>
      <c r="J102" s="129"/>
    </row>
    <row r="103" spans="1:10" ht="18.75" x14ac:dyDescent="0.3">
      <c r="C103" s="130" t="s">
        <v>98</v>
      </c>
      <c r="D103" s="131">
        <f>AVERAGE(E91:E94,G91:G94)</f>
        <v>526981.33592830785</v>
      </c>
      <c r="F103" s="75"/>
      <c r="G103" s="132"/>
      <c r="H103" s="55"/>
      <c r="J103" s="133"/>
    </row>
    <row r="104" spans="1:10" ht="18.75" x14ac:dyDescent="0.3">
      <c r="C104" s="98" t="s">
        <v>65</v>
      </c>
      <c r="D104" s="134">
        <f>STDEV(E91:E94,G91:G94)/D103</f>
        <v>1.313129002661881E-2</v>
      </c>
      <c r="F104" s="75"/>
      <c r="G104" s="124"/>
      <c r="H104" s="55"/>
      <c r="J104" s="133"/>
    </row>
    <row r="105" spans="1:10" ht="19.5" customHeight="1" x14ac:dyDescent="0.3">
      <c r="C105" s="100" t="s">
        <v>6</v>
      </c>
      <c r="D105" s="135">
        <f>COUNT(E91:E94,G91:G94)</f>
        <v>6</v>
      </c>
      <c r="F105" s="75"/>
      <c r="G105" s="124"/>
      <c r="H105" s="55"/>
      <c r="J105" s="133"/>
    </row>
    <row r="106" spans="1:10" ht="19.5" customHeight="1" x14ac:dyDescent="0.3">
      <c r="A106" s="79"/>
      <c r="B106" s="79"/>
      <c r="C106" s="79"/>
      <c r="D106" s="79"/>
      <c r="E106" s="79"/>
    </row>
    <row r="107" spans="1:10" ht="27" customHeight="1" x14ac:dyDescent="0.4">
      <c r="A107" s="27" t="s">
        <v>99</v>
      </c>
      <c r="B107" s="28">
        <v>900</v>
      </c>
      <c r="C107" s="174" t="s">
        <v>100</v>
      </c>
      <c r="D107" s="174" t="s">
        <v>44</v>
      </c>
      <c r="E107" s="174" t="s">
        <v>101</v>
      </c>
      <c r="F107" s="136" t="s">
        <v>102</v>
      </c>
    </row>
    <row r="108" spans="1:10" ht="26.25" customHeight="1" x14ac:dyDescent="0.4">
      <c r="A108" s="29" t="s">
        <v>103</v>
      </c>
      <c r="B108" s="30">
        <v>5</v>
      </c>
      <c r="C108" s="179">
        <v>1</v>
      </c>
      <c r="D108" s="180">
        <v>529658</v>
      </c>
      <c r="E108" s="154">
        <f t="shared" ref="E108:E113" si="1">IF(ISBLANK(D108),"-",D108/$D$103*$D$100*$B$116)</f>
        <v>160.8126782150953</v>
      </c>
      <c r="F108" s="181">
        <f t="shared" ref="F108:F113" si="2">IF(ISBLANK(D108), "-", (E108/$B$56)*100)</f>
        <v>100.50792388443458</v>
      </c>
    </row>
    <row r="109" spans="1:10" ht="26.25" customHeight="1" x14ac:dyDescent="0.4">
      <c r="A109" s="29" t="s">
        <v>76</v>
      </c>
      <c r="B109" s="30">
        <v>25</v>
      </c>
      <c r="C109" s="175">
        <v>2</v>
      </c>
      <c r="D109" s="177">
        <v>529701</v>
      </c>
      <c r="E109" s="155">
        <f t="shared" si="1"/>
        <v>160.82573370592758</v>
      </c>
      <c r="F109" s="182">
        <f t="shared" si="2"/>
        <v>100.51608356620474</v>
      </c>
    </row>
    <row r="110" spans="1:10" ht="26.25" customHeight="1" x14ac:dyDescent="0.4">
      <c r="A110" s="29" t="s">
        <v>77</v>
      </c>
      <c r="B110" s="30">
        <v>1</v>
      </c>
      <c r="C110" s="175">
        <v>3</v>
      </c>
      <c r="D110" s="177">
        <v>529147</v>
      </c>
      <c r="E110" s="155">
        <f t="shared" si="1"/>
        <v>160.65753040543714</v>
      </c>
      <c r="F110" s="182">
        <f t="shared" si="2"/>
        <v>100.41095650339822</v>
      </c>
    </row>
    <row r="111" spans="1:10" ht="26.25" customHeight="1" x14ac:dyDescent="0.4">
      <c r="A111" s="29" t="s">
        <v>78</v>
      </c>
      <c r="B111" s="30">
        <v>1</v>
      </c>
      <c r="C111" s="175">
        <v>4</v>
      </c>
      <c r="D111" s="177">
        <v>529955</v>
      </c>
      <c r="E111" s="155">
        <f t="shared" si="1"/>
        <v>160.90285218665784</v>
      </c>
      <c r="F111" s="182">
        <f t="shared" si="2"/>
        <v>100.56428261666115</v>
      </c>
    </row>
    <row r="112" spans="1:10" ht="26.25" customHeight="1" x14ac:dyDescent="0.4">
      <c r="A112" s="29" t="s">
        <v>79</v>
      </c>
      <c r="B112" s="30">
        <v>1</v>
      </c>
      <c r="C112" s="175">
        <v>5</v>
      </c>
      <c r="D112" s="177">
        <v>530060</v>
      </c>
      <c r="E112" s="155">
        <f t="shared" si="1"/>
        <v>160.93473187357387</v>
      </c>
      <c r="F112" s="182">
        <f t="shared" si="2"/>
        <v>100.58420742098366</v>
      </c>
    </row>
    <row r="113" spans="1:10" ht="27" customHeight="1" x14ac:dyDescent="0.4">
      <c r="A113" s="29" t="s">
        <v>81</v>
      </c>
      <c r="B113" s="30">
        <v>1</v>
      </c>
      <c r="C113" s="176">
        <v>6</v>
      </c>
      <c r="D113" s="178">
        <v>529341</v>
      </c>
      <c r="E113" s="156">
        <f t="shared" si="1"/>
        <v>160.71643192221535</v>
      </c>
      <c r="F113" s="183">
        <f t="shared" si="2"/>
        <v>100.4477699513846</v>
      </c>
    </row>
    <row r="114" spans="1:10" ht="27" customHeight="1" x14ac:dyDescent="0.4">
      <c r="A114" s="29" t="s">
        <v>82</v>
      </c>
      <c r="B114" s="30">
        <v>1</v>
      </c>
      <c r="C114" s="137"/>
      <c r="D114" s="96"/>
      <c r="E114" s="3"/>
      <c r="F114" s="184"/>
    </row>
    <row r="115" spans="1:10" ht="26.25" customHeight="1" x14ac:dyDescent="0.4">
      <c r="A115" s="29" t="s">
        <v>83</v>
      </c>
      <c r="B115" s="30">
        <v>1</v>
      </c>
      <c r="C115" s="137"/>
      <c r="D115" s="161" t="s">
        <v>52</v>
      </c>
      <c r="E115" s="163">
        <f>AVERAGE(E108:E113)</f>
        <v>160.80832638481786</v>
      </c>
      <c r="F115" s="185">
        <f>AVERAGE(F108:F113)</f>
        <v>100.50520399051116</v>
      </c>
    </row>
    <row r="116" spans="1:10" ht="27" customHeight="1" x14ac:dyDescent="0.4">
      <c r="A116" s="29" t="s">
        <v>84</v>
      </c>
      <c r="B116" s="61">
        <f>(B115/B114)*(B113/B112)*(B111/B110)*(B109/B108)*B107</f>
        <v>4500</v>
      </c>
      <c r="C116" s="138"/>
      <c r="D116" s="162" t="s">
        <v>65</v>
      </c>
      <c r="E116" s="160">
        <f>STDEV(E108:E113)/E115</f>
        <v>6.6057309510939499E-4</v>
      </c>
      <c r="F116" s="139">
        <f>STDEV(F108:F113)/F115</f>
        <v>6.6057309510933276E-4</v>
      </c>
      <c r="I116" s="3"/>
    </row>
    <row r="117" spans="1:10" ht="27" customHeight="1" x14ac:dyDescent="0.4">
      <c r="A117" s="377" t="s">
        <v>59</v>
      </c>
      <c r="B117" s="378"/>
      <c r="C117" s="140"/>
      <c r="D117" s="100" t="s">
        <v>6</v>
      </c>
      <c r="E117" s="165">
        <f>COUNT(E108:E113)</f>
        <v>6</v>
      </c>
      <c r="F117" s="166">
        <f>COUNT(F108:F113)</f>
        <v>6</v>
      </c>
      <c r="I117" s="3"/>
      <c r="J117" s="133"/>
    </row>
    <row r="118" spans="1:10" ht="26.25" customHeight="1" x14ac:dyDescent="0.3">
      <c r="A118" s="379"/>
      <c r="B118" s="380"/>
      <c r="C118" s="3"/>
      <c r="D118" s="164"/>
      <c r="E118" s="405" t="s">
        <v>104</v>
      </c>
      <c r="F118" s="406"/>
      <c r="G118" s="3"/>
      <c r="H118" s="3"/>
      <c r="I118" s="3"/>
    </row>
    <row r="119" spans="1:10" ht="25.5" customHeight="1" x14ac:dyDescent="0.4">
      <c r="A119" s="149"/>
      <c r="B119" s="25"/>
      <c r="C119" s="3"/>
      <c r="D119" s="162" t="s">
        <v>105</v>
      </c>
      <c r="E119" s="167">
        <f>MIN(E108:E113)</f>
        <v>160.65753040543714</v>
      </c>
      <c r="F119" s="186">
        <f>MIN(F108:F113)</f>
        <v>100.41095650339822</v>
      </c>
      <c r="G119" s="3"/>
      <c r="H119" s="3"/>
      <c r="I119" s="3"/>
    </row>
    <row r="120" spans="1:10" ht="24" customHeight="1" x14ac:dyDescent="0.4">
      <c r="A120" s="149"/>
      <c r="B120" s="25"/>
      <c r="C120" s="3"/>
      <c r="D120" s="72" t="s">
        <v>106</v>
      </c>
      <c r="E120" s="168">
        <f>MAX(E108:E113)</f>
        <v>160.93473187357387</v>
      </c>
      <c r="F120" s="187">
        <f>MAX(F108:F113)</f>
        <v>100.58420742098366</v>
      </c>
      <c r="G120" s="3"/>
      <c r="H120" s="3"/>
      <c r="I120" s="3"/>
    </row>
    <row r="121" spans="1:10" ht="27" customHeight="1" x14ac:dyDescent="0.3">
      <c r="A121" s="149"/>
      <c r="B121" s="25"/>
      <c r="C121" s="3"/>
      <c r="D121" s="3"/>
      <c r="E121" s="3"/>
      <c r="F121" s="96"/>
      <c r="G121" s="3"/>
      <c r="H121" s="3"/>
      <c r="I121" s="3"/>
    </row>
    <row r="122" spans="1:10" ht="25.5" customHeight="1" x14ac:dyDescent="0.3">
      <c r="A122" s="149"/>
      <c r="B122" s="25"/>
      <c r="C122" s="3"/>
      <c r="D122" s="3"/>
      <c r="E122" s="3"/>
      <c r="F122" s="96"/>
      <c r="G122" s="3"/>
      <c r="H122" s="3"/>
      <c r="I122" s="3"/>
    </row>
    <row r="123" spans="1:10" ht="18.75" x14ac:dyDescent="0.3">
      <c r="A123" s="149"/>
      <c r="B123" s="25"/>
      <c r="C123" s="3"/>
      <c r="D123" s="3"/>
      <c r="E123" s="3"/>
      <c r="F123" s="96"/>
      <c r="G123" s="3"/>
      <c r="H123" s="3"/>
      <c r="I123" s="3"/>
    </row>
    <row r="124" spans="1:10" ht="45.75" customHeight="1" x14ac:dyDescent="0.65">
      <c r="A124" s="13" t="s">
        <v>87</v>
      </c>
      <c r="B124" s="102" t="s">
        <v>107</v>
      </c>
      <c r="C124" s="381" t="str">
        <f>B26</f>
        <v>Trimethoprim</v>
      </c>
      <c r="D124" s="381"/>
      <c r="E124" s="103" t="s">
        <v>108</v>
      </c>
      <c r="F124" s="103"/>
      <c r="G124" s="188">
        <f>F115</f>
        <v>100.50520399051116</v>
      </c>
      <c r="H124" s="3"/>
      <c r="I124" s="3"/>
    </row>
    <row r="125" spans="1:10" ht="45.75" customHeight="1" x14ac:dyDescent="0.65">
      <c r="A125" s="13"/>
      <c r="B125" s="102" t="s">
        <v>109</v>
      </c>
      <c r="C125" s="14" t="s">
        <v>110</v>
      </c>
      <c r="D125" s="188">
        <f>MIN(F108:F113)</f>
        <v>100.41095650339822</v>
      </c>
      <c r="E125" s="113" t="s">
        <v>111</v>
      </c>
      <c r="F125" s="188">
        <f>MAX(F108:F113)</f>
        <v>100.58420742098366</v>
      </c>
      <c r="G125" s="104"/>
      <c r="H125" s="3"/>
      <c r="I125" s="3"/>
    </row>
    <row r="126" spans="1:10" ht="19.5" customHeight="1" x14ac:dyDescent="0.3">
      <c r="A126" s="141"/>
      <c r="B126" s="141"/>
      <c r="C126" s="142"/>
      <c r="D126" s="142"/>
      <c r="E126" s="142"/>
      <c r="F126" s="142"/>
      <c r="G126" s="142"/>
      <c r="H126" s="142"/>
    </row>
    <row r="127" spans="1:10" ht="18.75" x14ac:dyDescent="0.3">
      <c r="B127" s="382" t="s">
        <v>7</v>
      </c>
      <c r="C127" s="382"/>
      <c r="E127" s="109" t="s">
        <v>8</v>
      </c>
      <c r="F127" s="143"/>
      <c r="G127" s="382" t="s">
        <v>9</v>
      </c>
      <c r="H127" s="382"/>
    </row>
    <row r="128" spans="1:10" ht="69.95" customHeight="1" x14ac:dyDescent="0.3">
      <c r="A128" s="144" t="s">
        <v>10</v>
      </c>
      <c r="B128" s="145"/>
      <c r="C128" s="145"/>
      <c r="E128" s="145"/>
      <c r="F128" s="3"/>
      <c r="G128" s="146"/>
      <c r="H128" s="146"/>
    </row>
    <row r="129" spans="1:9" ht="69.95" customHeight="1" x14ac:dyDescent="0.3">
      <c r="A129" s="144" t="s">
        <v>11</v>
      </c>
      <c r="B129" s="147"/>
      <c r="C129" s="147"/>
      <c r="E129" s="147"/>
      <c r="F129" s="3"/>
      <c r="G129" s="148"/>
      <c r="H129" s="148"/>
    </row>
    <row r="130" spans="1:9" ht="18.75" x14ac:dyDescent="0.3">
      <c r="A130" s="95"/>
      <c r="B130" s="95"/>
      <c r="C130" s="96"/>
      <c r="D130" s="96"/>
      <c r="E130" s="96"/>
      <c r="F130" s="99"/>
      <c r="G130" s="96"/>
      <c r="H130" s="96"/>
      <c r="I130" s="3"/>
    </row>
    <row r="131" spans="1:9" ht="18.75" x14ac:dyDescent="0.3">
      <c r="A131" s="95"/>
      <c r="B131" s="95"/>
      <c r="C131" s="96"/>
      <c r="D131" s="96"/>
      <c r="E131" s="96"/>
      <c r="F131" s="99"/>
      <c r="G131" s="96"/>
      <c r="H131" s="96"/>
      <c r="I131" s="3"/>
    </row>
    <row r="132" spans="1:9" ht="18.75" x14ac:dyDescent="0.3">
      <c r="A132" s="95"/>
      <c r="B132" s="95"/>
      <c r="C132" s="96"/>
      <c r="D132" s="96"/>
      <c r="E132" s="96"/>
      <c r="F132" s="99"/>
      <c r="G132" s="96"/>
      <c r="H132" s="96"/>
      <c r="I132" s="3"/>
    </row>
    <row r="133" spans="1:9" ht="18.75" x14ac:dyDescent="0.3">
      <c r="A133" s="95"/>
      <c r="B133" s="95"/>
      <c r="C133" s="96"/>
      <c r="D133" s="96"/>
      <c r="E133" s="96"/>
      <c r="F133" s="99"/>
      <c r="G133" s="96"/>
      <c r="H133" s="96"/>
      <c r="I133" s="3"/>
    </row>
    <row r="134" spans="1:9" ht="18.75" x14ac:dyDescent="0.3">
      <c r="A134" s="95"/>
      <c r="B134" s="95"/>
      <c r="C134" s="96"/>
      <c r="D134" s="96"/>
      <c r="E134" s="96"/>
      <c r="F134" s="99"/>
      <c r="G134" s="96"/>
      <c r="H134" s="96"/>
      <c r="I134" s="3"/>
    </row>
    <row r="135" spans="1:9" ht="18.75" x14ac:dyDescent="0.3">
      <c r="A135" s="95"/>
      <c r="B135" s="95"/>
      <c r="C135" s="96"/>
      <c r="D135" s="96"/>
      <c r="E135" s="96"/>
      <c r="F135" s="99"/>
      <c r="G135" s="96"/>
      <c r="H135" s="96"/>
      <c r="I135" s="3"/>
    </row>
    <row r="136" spans="1:9" ht="18.75" x14ac:dyDescent="0.3">
      <c r="A136" s="95"/>
      <c r="B136" s="95"/>
      <c r="C136" s="96"/>
      <c r="D136" s="96"/>
      <c r="E136" s="96"/>
      <c r="F136" s="99"/>
      <c r="G136" s="96"/>
      <c r="H136" s="96"/>
      <c r="I136" s="3"/>
    </row>
    <row r="137" spans="1:9" ht="18.75" x14ac:dyDescent="0.3">
      <c r="A137" s="95"/>
      <c r="B137" s="95"/>
      <c r="C137" s="96"/>
      <c r="D137" s="96"/>
      <c r="E137" s="96"/>
      <c r="F137" s="99"/>
      <c r="G137" s="96"/>
      <c r="H137" s="96"/>
      <c r="I137" s="3"/>
    </row>
    <row r="138" spans="1:9" ht="18.75" x14ac:dyDescent="0.3">
      <c r="A138" s="95"/>
      <c r="B138" s="95"/>
      <c r="C138" s="96"/>
      <c r="D138" s="96"/>
      <c r="E138" s="96"/>
      <c r="F138" s="99"/>
      <c r="G138" s="96"/>
      <c r="H138" s="96"/>
      <c r="I138" s="3"/>
    </row>
    <row r="250" spans="1:1" x14ac:dyDescent="0.25">
      <c r="A250" s="1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38" priority="1" operator="greaterThan">
      <formula>0.02</formula>
    </cfRule>
  </conditionalFormatting>
  <conditionalFormatting sqref="D51">
    <cfRule type="cellIs" dxfId="37" priority="2" operator="greaterThan">
      <formula>0.02</formula>
    </cfRule>
  </conditionalFormatting>
  <conditionalFormatting sqref="G73">
    <cfRule type="cellIs" dxfId="36" priority="3" operator="greaterThan">
      <formula>0.02</formula>
    </cfRule>
  </conditionalFormatting>
  <conditionalFormatting sqref="H73">
    <cfRule type="cellIs" dxfId="35" priority="4" operator="greaterThan">
      <formula>0.02</formula>
    </cfRule>
  </conditionalFormatting>
  <conditionalFormatting sqref="D104">
    <cfRule type="cellIs" dxfId="34" priority="5" operator="greaterThan">
      <formula>0.02</formula>
    </cfRule>
  </conditionalFormatting>
  <conditionalFormatting sqref="I39">
    <cfRule type="cellIs" dxfId="33" priority="6" operator="lessThanOrEqual">
      <formula>0.02</formula>
    </cfRule>
  </conditionalFormatting>
  <conditionalFormatting sqref="I39">
    <cfRule type="cellIs" dxfId="32" priority="7" operator="greaterThan">
      <formula>0.02</formula>
    </cfRule>
  </conditionalFormatting>
  <conditionalFormatting sqref="I92">
    <cfRule type="cellIs" dxfId="31" priority="8" operator="lessThanOrEqual">
      <formula>0.02</formula>
    </cfRule>
  </conditionalFormatting>
  <conditionalFormatting sqref="I92">
    <cfRule type="cellIs" dxfId="3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N250"/>
  <sheetViews>
    <sheetView tabSelected="1" view="pageLayout" zoomScale="55" zoomScaleNormal="40" zoomScalePageLayoutView="55" workbookViewId="0">
      <selection sqref="A1:I130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</cols>
  <sheetData>
    <row r="1" spans="1:9" ht="18.75" customHeight="1" x14ac:dyDescent="0.25">
      <c r="A1" s="375" t="s">
        <v>26</v>
      </c>
      <c r="B1" s="375"/>
      <c r="C1" s="375"/>
      <c r="D1" s="375"/>
      <c r="E1" s="375"/>
      <c r="F1" s="375"/>
      <c r="G1" s="375"/>
      <c r="H1" s="375"/>
      <c r="I1" s="375"/>
    </row>
    <row r="2" spans="1:9" ht="18.75" customHeight="1" x14ac:dyDescent="0.25">
      <c r="A2" s="375"/>
      <c r="B2" s="375"/>
      <c r="C2" s="375"/>
      <c r="D2" s="375"/>
      <c r="E2" s="375"/>
      <c r="F2" s="375"/>
      <c r="G2" s="375"/>
      <c r="H2" s="375"/>
      <c r="I2" s="375"/>
    </row>
    <row r="3" spans="1:9" ht="18.75" customHeight="1" x14ac:dyDescent="0.25">
      <c r="A3" s="375"/>
      <c r="B3" s="375"/>
      <c r="C3" s="375"/>
      <c r="D3" s="375"/>
      <c r="E3" s="375"/>
      <c r="F3" s="375"/>
      <c r="G3" s="375"/>
      <c r="H3" s="375"/>
      <c r="I3" s="375"/>
    </row>
    <row r="4" spans="1:9" ht="18.75" customHeight="1" x14ac:dyDescent="0.25">
      <c r="A4" s="375"/>
      <c r="B4" s="375"/>
      <c r="C4" s="375"/>
      <c r="D4" s="375"/>
      <c r="E4" s="375"/>
      <c r="F4" s="375"/>
      <c r="G4" s="375"/>
      <c r="H4" s="375"/>
      <c r="I4" s="375"/>
    </row>
    <row r="5" spans="1:9" ht="18.75" customHeight="1" x14ac:dyDescent="0.25">
      <c r="A5" s="375"/>
      <c r="B5" s="375"/>
      <c r="C5" s="375"/>
      <c r="D5" s="375"/>
      <c r="E5" s="375"/>
      <c r="F5" s="375"/>
      <c r="G5" s="375"/>
      <c r="H5" s="375"/>
      <c r="I5" s="375"/>
    </row>
    <row r="6" spans="1:9" ht="18.75" customHeight="1" x14ac:dyDescent="0.25">
      <c r="A6" s="375"/>
      <c r="B6" s="375"/>
      <c r="C6" s="375"/>
      <c r="D6" s="375"/>
      <c r="E6" s="375"/>
      <c r="F6" s="375"/>
      <c r="G6" s="375"/>
      <c r="H6" s="375"/>
      <c r="I6" s="375"/>
    </row>
    <row r="7" spans="1:9" ht="18.75" customHeight="1" x14ac:dyDescent="0.25">
      <c r="A7" s="375"/>
      <c r="B7" s="375"/>
      <c r="C7" s="375"/>
      <c r="D7" s="375"/>
      <c r="E7" s="375"/>
      <c r="F7" s="375"/>
      <c r="G7" s="375"/>
      <c r="H7" s="375"/>
      <c r="I7" s="375"/>
    </row>
    <row r="8" spans="1:9" x14ac:dyDescent="0.25">
      <c r="A8" s="376" t="s">
        <v>27</v>
      </c>
      <c r="B8" s="376"/>
      <c r="C8" s="376"/>
      <c r="D8" s="376"/>
      <c r="E8" s="376"/>
      <c r="F8" s="376"/>
      <c r="G8" s="376"/>
      <c r="H8" s="376"/>
      <c r="I8" s="376"/>
    </row>
    <row r="9" spans="1:9" x14ac:dyDescent="0.25">
      <c r="A9" s="376"/>
      <c r="B9" s="376"/>
      <c r="C9" s="376"/>
      <c r="D9" s="376"/>
      <c r="E9" s="376"/>
      <c r="F9" s="376"/>
      <c r="G9" s="376"/>
      <c r="H9" s="376"/>
      <c r="I9" s="376"/>
    </row>
    <row r="10" spans="1:9" x14ac:dyDescent="0.25">
      <c r="A10" s="376"/>
      <c r="B10" s="376"/>
      <c r="C10" s="376"/>
      <c r="D10" s="376"/>
      <c r="E10" s="376"/>
      <c r="F10" s="376"/>
      <c r="G10" s="376"/>
      <c r="H10" s="376"/>
      <c r="I10" s="376"/>
    </row>
    <row r="11" spans="1:9" x14ac:dyDescent="0.25">
      <c r="A11" s="376"/>
      <c r="B11" s="376"/>
      <c r="C11" s="376"/>
      <c r="D11" s="376"/>
      <c r="E11" s="376"/>
      <c r="F11" s="376"/>
      <c r="G11" s="376"/>
      <c r="H11" s="376"/>
      <c r="I11" s="376"/>
    </row>
    <row r="12" spans="1:9" x14ac:dyDescent="0.25">
      <c r="A12" s="376"/>
      <c r="B12" s="376"/>
      <c r="C12" s="376"/>
      <c r="D12" s="376"/>
      <c r="E12" s="376"/>
      <c r="F12" s="376"/>
      <c r="G12" s="376"/>
      <c r="H12" s="376"/>
      <c r="I12" s="376"/>
    </row>
    <row r="13" spans="1:9" x14ac:dyDescent="0.25">
      <c r="A13" s="376"/>
      <c r="B13" s="376"/>
      <c r="C13" s="376"/>
      <c r="D13" s="376"/>
      <c r="E13" s="376"/>
      <c r="F13" s="376"/>
      <c r="G13" s="376"/>
      <c r="H13" s="376"/>
      <c r="I13" s="376"/>
    </row>
    <row r="14" spans="1:9" x14ac:dyDescent="0.25">
      <c r="A14" s="376"/>
      <c r="B14" s="376"/>
      <c r="C14" s="376"/>
      <c r="D14" s="376"/>
      <c r="E14" s="376"/>
      <c r="F14" s="376"/>
      <c r="G14" s="376"/>
      <c r="H14" s="376"/>
      <c r="I14" s="376"/>
    </row>
    <row r="15" spans="1:9" ht="19.5" customHeight="1" x14ac:dyDescent="0.3">
      <c r="A15" s="189"/>
    </row>
    <row r="16" spans="1:9" ht="19.5" customHeight="1" x14ac:dyDescent="0.3">
      <c r="A16" s="408" t="s">
        <v>12</v>
      </c>
      <c r="B16" s="409"/>
      <c r="C16" s="409"/>
      <c r="D16" s="409"/>
      <c r="E16" s="409"/>
      <c r="F16" s="409"/>
      <c r="G16" s="409"/>
      <c r="H16" s="410"/>
    </row>
    <row r="17" spans="1:14" ht="20.25" customHeight="1" x14ac:dyDescent="0.25">
      <c r="A17" s="411" t="s">
        <v>28</v>
      </c>
      <c r="B17" s="411"/>
      <c r="C17" s="411"/>
      <c r="D17" s="411"/>
      <c r="E17" s="411"/>
      <c r="F17" s="411"/>
      <c r="G17" s="411"/>
      <c r="H17" s="411"/>
    </row>
    <row r="18" spans="1:14" ht="26.25" customHeight="1" x14ac:dyDescent="0.4">
      <c r="A18" s="191" t="s">
        <v>14</v>
      </c>
      <c r="B18" s="407" t="s">
        <v>2</v>
      </c>
      <c r="C18" s="407"/>
      <c r="D18" s="336"/>
      <c r="E18" s="192"/>
      <c r="F18" s="193"/>
      <c r="G18" s="193"/>
      <c r="H18" s="193"/>
    </row>
    <row r="19" spans="1:14" ht="26.25" customHeight="1" x14ac:dyDescent="0.4">
      <c r="A19" s="191" t="s">
        <v>15</v>
      </c>
      <c r="B19" s="194" t="str">
        <f>trimethoprim!B19</f>
        <v>NDQB201701331</v>
      </c>
      <c r="C19" s="345">
        <v>1</v>
      </c>
      <c r="D19" s="193"/>
      <c r="E19" s="193"/>
      <c r="F19" s="193"/>
      <c r="G19" s="193"/>
      <c r="H19" s="193"/>
    </row>
    <row r="20" spans="1:14" ht="26.25" customHeight="1" x14ac:dyDescent="0.4">
      <c r="A20" s="191" t="s">
        <v>16</v>
      </c>
      <c r="B20" s="412" t="s">
        <v>4</v>
      </c>
      <c r="C20" s="412"/>
      <c r="D20" s="193"/>
      <c r="E20" s="193"/>
      <c r="F20" s="193"/>
      <c r="G20" s="193"/>
      <c r="H20" s="193"/>
    </row>
    <row r="21" spans="1:14" ht="26.25" customHeight="1" x14ac:dyDescent="0.4">
      <c r="A21" s="191" t="s">
        <v>17</v>
      </c>
      <c r="B21" s="412" t="s">
        <v>5</v>
      </c>
      <c r="C21" s="412"/>
      <c r="D21" s="412"/>
      <c r="E21" s="412"/>
      <c r="F21" s="412"/>
      <c r="G21" s="412"/>
      <c r="H21" s="412"/>
      <c r="I21" s="195"/>
    </row>
    <row r="22" spans="1:14" ht="26.25" customHeight="1" x14ac:dyDescent="0.4">
      <c r="A22" s="191" t="s">
        <v>18</v>
      </c>
      <c r="B22" s="196">
        <v>42761</v>
      </c>
      <c r="C22" s="193"/>
      <c r="D22" s="193"/>
      <c r="E22" s="193"/>
      <c r="F22" s="193"/>
      <c r="G22" s="193"/>
      <c r="H22" s="193"/>
    </row>
    <row r="23" spans="1:14" ht="26.25" customHeight="1" x14ac:dyDescent="0.4">
      <c r="A23" s="191" t="s">
        <v>19</v>
      </c>
      <c r="B23" s="196">
        <v>42762</v>
      </c>
      <c r="C23" s="193"/>
      <c r="D23" s="193"/>
      <c r="E23" s="193"/>
      <c r="F23" s="193"/>
      <c r="G23" s="193"/>
      <c r="H23" s="193"/>
    </row>
    <row r="24" spans="1:14" ht="18.75" x14ac:dyDescent="0.3">
      <c r="A24" s="191"/>
      <c r="B24" s="197"/>
    </row>
    <row r="25" spans="1:14" ht="18.75" x14ac:dyDescent="0.3">
      <c r="A25" s="198" t="s">
        <v>0</v>
      </c>
      <c r="B25" s="197"/>
    </row>
    <row r="26" spans="1:14" ht="26.25" customHeight="1" x14ac:dyDescent="0.4">
      <c r="A26" s="199" t="s">
        <v>1</v>
      </c>
      <c r="B26" s="407" t="s">
        <v>115</v>
      </c>
      <c r="C26" s="407"/>
    </row>
    <row r="27" spans="1:14" ht="26.25" customHeight="1" x14ac:dyDescent="0.4">
      <c r="A27" s="200" t="s">
        <v>29</v>
      </c>
      <c r="B27" s="413" t="s">
        <v>114</v>
      </c>
      <c r="C27" s="413"/>
    </row>
    <row r="28" spans="1:14" ht="27" customHeight="1" x14ac:dyDescent="0.4">
      <c r="A28" s="200" t="s">
        <v>3</v>
      </c>
      <c r="B28" s="201">
        <v>99.28</v>
      </c>
    </row>
    <row r="29" spans="1:14" s="2" customFormat="1" ht="27" customHeight="1" x14ac:dyDescent="0.4">
      <c r="A29" s="200" t="s">
        <v>30</v>
      </c>
      <c r="B29" s="202">
        <v>0</v>
      </c>
      <c r="C29" s="383" t="s">
        <v>31</v>
      </c>
      <c r="D29" s="384"/>
      <c r="E29" s="384"/>
      <c r="F29" s="384"/>
      <c r="G29" s="385"/>
      <c r="I29" s="203"/>
      <c r="J29" s="203"/>
      <c r="K29" s="203"/>
      <c r="L29" s="203"/>
    </row>
    <row r="30" spans="1:14" s="2" customFormat="1" ht="19.5" customHeight="1" x14ac:dyDescent="0.3">
      <c r="A30" s="200" t="s">
        <v>32</v>
      </c>
      <c r="B30" s="204">
        <f>B28-B29</f>
        <v>99.28</v>
      </c>
      <c r="C30" s="205"/>
      <c r="D30" s="205"/>
      <c r="E30" s="205"/>
      <c r="F30" s="205"/>
      <c r="G30" s="206"/>
      <c r="I30" s="203"/>
      <c r="J30" s="203"/>
      <c r="K30" s="203"/>
      <c r="L30" s="203"/>
    </row>
    <row r="31" spans="1:14" s="2" customFormat="1" ht="27" customHeight="1" x14ac:dyDescent="0.4">
      <c r="A31" s="200" t="s">
        <v>33</v>
      </c>
      <c r="B31" s="207">
        <v>1</v>
      </c>
      <c r="C31" s="386" t="s">
        <v>34</v>
      </c>
      <c r="D31" s="387"/>
      <c r="E31" s="387"/>
      <c r="F31" s="387"/>
      <c r="G31" s="387"/>
      <c r="H31" s="388"/>
      <c r="I31" s="203"/>
      <c r="J31" s="203"/>
      <c r="K31" s="203"/>
      <c r="L31" s="203"/>
    </row>
    <row r="32" spans="1:14" s="2" customFormat="1" ht="27" customHeight="1" x14ac:dyDescent="0.4">
      <c r="A32" s="200" t="s">
        <v>35</v>
      </c>
      <c r="B32" s="207">
        <v>1</v>
      </c>
      <c r="C32" s="386" t="s">
        <v>36</v>
      </c>
      <c r="D32" s="387"/>
      <c r="E32" s="387"/>
      <c r="F32" s="387"/>
      <c r="G32" s="387"/>
      <c r="H32" s="388"/>
      <c r="I32" s="203"/>
      <c r="J32" s="203"/>
      <c r="K32" s="203"/>
      <c r="L32" s="208"/>
      <c r="M32" s="208"/>
      <c r="N32" s="209"/>
    </row>
    <row r="33" spans="1:14" s="2" customFormat="1" ht="17.25" customHeight="1" x14ac:dyDescent="0.3">
      <c r="A33" s="200"/>
      <c r="B33" s="210"/>
      <c r="C33" s="211"/>
      <c r="D33" s="211"/>
      <c r="E33" s="211"/>
      <c r="F33" s="211"/>
      <c r="G33" s="211"/>
      <c r="H33" s="211"/>
      <c r="I33" s="203"/>
      <c r="J33" s="203"/>
      <c r="K33" s="203"/>
      <c r="L33" s="208"/>
      <c r="M33" s="208"/>
      <c r="N33" s="209"/>
    </row>
    <row r="34" spans="1:14" s="2" customFormat="1" ht="18.75" x14ac:dyDescent="0.3">
      <c r="A34" s="200" t="s">
        <v>37</v>
      </c>
      <c r="B34" s="212">
        <f>B31/B32</f>
        <v>1</v>
      </c>
      <c r="C34" s="190" t="s">
        <v>38</v>
      </c>
      <c r="D34" s="190"/>
      <c r="E34" s="190"/>
      <c r="F34" s="190"/>
      <c r="G34" s="190"/>
      <c r="I34" s="203"/>
      <c r="J34" s="203"/>
      <c r="K34" s="203"/>
      <c r="L34" s="208"/>
      <c r="M34" s="208"/>
      <c r="N34" s="209"/>
    </row>
    <row r="35" spans="1:14" s="2" customFormat="1" ht="19.5" customHeight="1" x14ac:dyDescent="0.3">
      <c r="A35" s="200"/>
      <c r="B35" s="204"/>
      <c r="G35" s="190"/>
      <c r="I35" s="203"/>
      <c r="J35" s="203"/>
      <c r="K35" s="203"/>
      <c r="L35" s="208"/>
      <c r="M35" s="208"/>
      <c r="N35" s="209"/>
    </row>
    <row r="36" spans="1:14" s="2" customFormat="1" ht="27" customHeight="1" x14ac:dyDescent="0.4">
      <c r="A36" s="213" t="s">
        <v>39</v>
      </c>
      <c r="B36" s="214">
        <v>100</v>
      </c>
      <c r="C36" s="190"/>
      <c r="D36" s="389" t="s">
        <v>40</v>
      </c>
      <c r="E36" s="414"/>
      <c r="F36" s="389" t="s">
        <v>41</v>
      </c>
      <c r="G36" s="390"/>
      <c r="J36" s="203"/>
      <c r="K36" s="203"/>
      <c r="L36" s="208"/>
      <c r="M36" s="208"/>
      <c r="N36" s="209"/>
    </row>
    <row r="37" spans="1:14" s="2" customFormat="1" ht="27" customHeight="1" x14ac:dyDescent="0.4">
      <c r="A37" s="215" t="s">
        <v>42</v>
      </c>
      <c r="B37" s="216">
        <v>1</v>
      </c>
      <c r="C37" s="217" t="s">
        <v>43</v>
      </c>
      <c r="D37" s="218" t="s">
        <v>44</v>
      </c>
      <c r="E37" s="219" t="s">
        <v>45</v>
      </c>
      <c r="F37" s="218" t="s">
        <v>44</v>
      </c>
      <c r="G37" s="220" t="s">
        <v>45</v>
      </c>
      <c r="I37" s="221" t="s">
        <v>46</v>
      </c>
      <c r="J37" s="203"/>
      <c r="K37" s="203"/>
      <c r="L37" s="208"/>
      <c r="M37" s="208"/>
      <c r="N37" s="209"/>
    </row>
    <row r="38" spans="1:14" s="2" customFormat="1" ht="26.25" customHeight="1" x14ac:dyDescent="0.4">
      <c r="A38" s="215" t="s">
        <v>47</v>
      </c>
      <c r="B38" s="216">
        <v>1</v>
      </c>
      <c r="C38" s="222">
        <v>1</v>
      </c>
      <c r="D38" s="223">
        <v>5233427</v>
      </c>
      <c r="E38" s="224">
        <f>IF(ISBLANK(D38),"-",$D$48/$D$45*D38)</f>
        <v>5857089.9364311928</v>
      </c>
      <c r="F38" s="223">
        <v>6892109</v>
      </c>
      <c r="G38" s="225">
        <f>IF(ISBLANK(F38),"-",$D$48/$F$45*F38)</f>
        <v>5936583.2712795623</v>
      </c>
      <c r="I38" s="226"/>
      <c r="J38" s="203"/>
      <c r="K38" s="203"/>
      <c r="L38" s="208"/>
      <c r="M38" s="208"/>
      <c r="N38" s="209"/>
    </row>
    <row r="39" spans="1:14" s="2" customFormat="1" ht="26.25" customHeight="1" x14ac:dyDescent="0.4">
      <c r="A39" s="215" t="s">
        <v>48</v>
      </c>
      <c r="B39" s="216">
        <v>1</v>
      </c>
      <c r="C39" s="227">
        <v>2</v>
      </c>
      <c r="D39" s="228">
        <v>5231083</v>
      </c>
      <c r="E39" s="229">
        <f>IF(ISBLANK(D39),"-",$D$48/$D$45*D39)</f>
        <v>5854466.6039931951</v>
      </c>
      <c r="F39" s="228">
        <v>6894375</v>
      </c>
      <c r="G39" s="230">
        <f>IF(ISBLANK(F39),"-",$D$48/$F$45*F39)</f>
        <v>5938535.111810918</v>
      </c>
      <c r="I39" s="391">
        <f>ABS((F43/D43*D42)-F42)/D42</f>
        <v>1.700423319855698E-2</v>
      </c>
      <c r="J39" s="203"/>
      <c r="K39" s="203"/>
      <c r="L39" s="208"/>
      <c r="M39" s="208"/>
      <c r="N39" s="209"/>
    </row>
    <row r="40" spans="1:14" ht="26.25" customHeight="1" x14ac:dyDescent="0.4">
      <c r="A40" s="215" t="s">
        <v>49</v>
      </c>
      <c r="B40" s="216">
        <v>1</v>
      </c>
      <c r="C40" s="227">
        <v>3</v>
      </c>
      <c r="D40" s="228">
        <v>5239133</v>
      </c>
      <c r="E40" s="229">
        <f>IF(ISBLANK(D40),"-",$D$48/$D$45*D40)</f>
        <v>5863475.9154803464</v>
      </c>
      <c r="F40" s="228">
        <v>6884375</v>
      </c>
      <c r="G40" s="230">
        <f>IF(ISBLANK(F40),"-",$D$48/$F$45*F40)</f>
        <v>5929921.5172330029</v>
      </c>
      <c r="I40" s="391"/>
      <c r="L40" s="208"/>
      <c r="M40" s="208"/>
      <c r="N40" s="231"/>
    </row>
    <row r="41" spans="1:14" ht="27" customHeight="1" x14ac:dyDescent="0.4">
      <c r="A41" s="215" t="s">
        <v>50</v>
      </c>
      <c r="B41" s="216">
        <v>1</v>
      </c>
      <c r="C41" s="232">
        <v>4</v>
      </c>
      <c r="D41" s="233"/>
      <c r="E41" s="234" t="str">
        <f>IF(ISBLANK(D41),"-",$D$48/$D$45*D41)</f>
        <v>-</v>
      </c>
      <c r="F41" s="233"/>
      <c r="G41" s="235" t="str">
        <f>IF(ISBLANK(F41),"-",$D$48/$F$45*F41)</f>
        <v>-</v>
      </c>
      <c r="I41" s="236"/>
      <c r="L41" s="208"/>
      <c r="M41" s="208"/>
      <c r="N41" s="231"/>
    </row>
    <row r="42" spans="1:14" ht="27" customHeight="1" x14ac:dyDescent="0.4">
      <c r="A42" s="215" t="s">
        <v>51</v>
      </c>
      <c r="B42" s="216">
        <v>1</v>
      </c>
      <c r="C42" s="237" t="s">
        <v>52</v>
      </c>
      <c r="D42" s="238">
        <f>AVERAGE(D38:D41)</f>
        <v>5234547.666666667</v>
      </c>
      <c r="E42" s="239">
        <f>AVERAGE(E38:E41)</f>
        <v>5858344.1519682445</v>
      </c>
      <c r="F42" s="238">
        <f>AVERAGE(F38:F41)</f>
        <v>6890286.333333333</v>
      </c>
      <c r="G42" s="240">
        <f>AVERAGE(G38:G41)</f>
        <v>5935013.3001078283</v>
      </c>
      <c r="H42" s="241"/>
    </row>
    <row r="43" spans="1:14" ht="26.25" customHeight="1" x14ac:dyDescent="0.4">
      <c r="A43" s="215" t="s">
        <v>53</v>
      </c>
      <c r="B43" s="216">
        <v>1</v>
      </c>
      <c r="C43" s="242" t="s">
        <v>54</v>
      </c>
      <c r="D43" s="243">
        <v>14.4</v>
      </c>
      <c r="E43" s="231"/>
      <c r="F43" s="243">
        <v>18.71</v>
      </c>
      <c r="H43" s="241"/>
    </row>
    <row r="44" spans="1:14" ht="26.25" customHeight="1" x14ac:dyDescent="0.4">
      <c r="A44" s="215" t="s">
        <v>55</v>
      </c>
      <c r="B44" s="216">
        <v>1</v>
      </c>
      <c r="C44" s="244" t="s">
        <v>56</v>
      </c>
      <c r="D44" s="245">
        <f>D43*$B$34</f>
        <v>14.4</v>
      </c>
      <c r="E44" s="246"/>
      <c r="F44" s="245">
        <f>F43*$B$34</f>
        <v>18.71</v>
      </c>
      <c r="H44" s="241"/>
    </row>
    <row r="45" spans="1:14" ht="19.5" customHeight="1" x14ac:dyDescent="0.3">
      <c r="A45" s="215" t="s">
        <v>57</v>
      </c>
      <c r="B45" s="247">
        <f>(B44/B43)*(B42/B41)*(B40/B39)*(B38/B37)*B36</f>
        <v>100</v>
      </c>
      <c r="C45" s="244" t="s">
        <v>58</v>
      </c>
      <c r="D45" s="248">
        <f>D44*$B$30/100</f>
        <v>14.296320000000001</v>
      </c>
      <c r="E45" s="249"/>
      <c r="F45" s="248">
        <f>F44*$B$30/100</f>
        <v>18.575288</v>
      </c>
      <c r="H45" s="241"/>
    </row>
    <row r="46" spans="1:14" ht="19.5" customHeight="1" x14ac:dyDescent="0.3">
      <c r="A46" s="377" t="s">
        <v>59</v>
      </c>
      <c r="B46" s="378"/>
      <c r="C46" s="244" t="s">
        <v>60</v>
      </c>
      <c r="D46" s="250">
        <f>D45/$B$45</f>
        <v>0.14296320000000001</v>
      </c>
      <c r="E46" s="251"/>
      <c r="F46" s="252">
        <f>F45/$B$45</f>
        <v>0.18575288000000001</v>
      </c>
      <c r="H46" s="241"/>
    </row>
    <row r="47" spans="1:14" ht="27" customHeight="1" x14ac:dyDescent="0.4">
      <c r="A47" s="379"/>
      <c r="B47" s="380"/>
      <c r="C47" s="253" t="s">
        <v>61</v>
      </c>
      <c r="D47" s="254">
        <v>0.16</v>
      </c>
      <c r="E47" s="255"/>
      <c r="F47" s="251"/>
      <c r="H47" s="241"/>
    </row>
    <row r="48" spans="1:14" ht="18.75" x14ac:dyDescent="0.3">
      <c r="C48" s="256" t="s">
        <v>62</v>
      </c>
      <c r="D48" s="248">
        <f>D47*$B$45</f>
        <v>16</v>
      </c>
      <c r="F48" s="257"/>
      <c r="H48" s="241"/>
    </row>
    <row r="49" spans="1:12" ht="19.5" customHeight="1" x14ac:dyDescent="0.3">
      <c r="C49" s="258" t="s">
        <v>63</v>
      </c>
      <c r="D49" s="259">
        <f>D48/B34</f>
        <v>16</v>
      </c>
      <c r="F49" s="257"/>
      <c r="H49" s="241"/>
    </row>
    <row r="50" spans="1:12" ht="18.75" x14ac:dyDescent="0.3">
      <c r="C50" s="213" t="s">
        <v>64</v>
      </c>
      <c r="D50" s="260">
        <f>AVERAGE(E38:E41,G38:G41)</f>
        <v>5896678.7260380359</v>
      </c>
      <c r="F50" s="261"/>
      <c r="H50" s="241"/>
    </row>
    <row r="51" spans="1:12" ht="18.75" x14ac:dyDescent="0.3">
      <c r="C51" s="215" t="s">
        <v>65</v>
      </c>
      <c r="D51" s="262">
        <f>STDEV(E38:E41,G38:G41)/D50</f>
        <v>7.1552749005459257E-3</v>
      </c>
      <c r="F51" s="261"/>
      <c r="H51" s="241"/>
    </row>
    <row r="52" spans="1:12" ht="19.5" customHeight="1" x14ac:dyDescent="0.3">
      <c r="C52" s="263" t="s">
        <v>6</v>
      </c>
      <c r="D52" s="264">
        <f>COUNT(E38:E41,G38:G41)</f>
        <v>6</v>
      </c>
      <c r="F52" s="261"/>
    </row>
    <row r="54" spans="1:12" ht="18.75" x14ac:dyDescent="0.3">
      <c r="A54" s="265" t="s">
        <v>0</v>
      </c>
      <c r="B54" s="266" t="s">
        <v>66</v>
      </c>
    </row>
    <row r="55" spans="1:12" ht="18.75" x14ac:dyDescent="0.3">
      <c r="A55" s="190" t="s">
        <v>67</v>
      </c>
      <c r="B55" s="267" t="str">
        <f>B21</f>
        <v>Each tablet contains Sulfamethoxazole 800 mg and Trimethoprim 160 mg</v>
      </c>
    </row>
    <row r="56" spans="1:12" ht="26.25" customHeight="1" x14ac:dyDescent="0.4">
      <c r="A56" s="268" t="s">
        <v>68</v>
      </c>
      <c r="B56" s="269">
        <v>800</v>
      </c>
      <c r="C56" s="190" t="str">
        <f>B20</f>
        <v>Sulfamethoxazole BP 800 MG &amp; Trimethoprim BP 160 MG</v>
      </c>
      <c r="H56" s="270"/>
    </row>
    <row r="57" spans="1:12" ht="18.75" x14ac:dyDescent="0.3">
      <c r="A57" s="267" t="s">
        <v>69</v>
      </c>
      <c r="B57" s="337">
        <f>trimethoprim!B57</f>
        <v>1082.2739999999999</v>
      </c>
      <c r="H57" s="270"/>
    </row>
    <row r="58" spans="1:12" ht="19.5" customHeight="1" x14ac:dyDescent="0.3">
      <c r="H58" s="270"/>
    </row>
    <row r="59" spans="1:12" s="2" customFormat="1" ht="27" customHeight="1" x14ac:dyDescent="0.4">
      <c r="A59" s="213" t="s">
        <v>70</v>
      </c>
      <c r="B59" s="214">
        <v>100</v>
      </c>
      <c r="C59" s="190"/>
      <c r="D59" s="271" t="s">
        <v>71</v>
      </c>
      <c r="E59" s="272" t="s">
        <v>43</v>
      </c>
      <c r="F59" s="272" t="s">
        <v>44</v>
      </c>
      <c r="G59" s="272" t="s">
        <v>72</v>
      </c>
      <c r="H59" s="217" t="s">
        <v>73</v>
      </c>
      <c r="L59" s="203"/>
    </row>
    <row r="60" spans="1:12" s="2" customFormat="1" ht="26.25" customHeight="1" x14ac:dyDescent="0.4">
      <c r="A60" s="215" t="s">
        <v>74</v>
      </c>
      <c r="B60" s="216">
        <v>2</v>
      </c>
      <c r="C60" s="394" t="s">
        <v>75</v>
      </c>
      <c r="D60" s="397">
        <f>trimethoprim!D60</f>
        <v>1073.3800000000001</v>
      </c>
      <c r="E60" s="273">
        <v>1</v>
      </c>
      <c r="F60" s="274">
        <v>5663013</v>
      </c>
      <c r="G60" s="338">
        <f>IF(ISBLANK(F60),"-",(F60/$D$50*$D$47*$B$68)*($B$57/$D$60))</f>
        <v>774.66476981279095</v>
      </c>
      <c r="H60" s="356">
        <f t="shared" ref="H60:H71" si="0">IF(ISBLANK(F60),"-",(G60/$B$56)*100)</f>
        <v>96.833096226598869</v>
      </c>
      <c r="L60" s="203"/>
    </row>
    <row r="61" spans="1:12" s="2" customFormat="1" ht="26.25" customHeight="1" x14ac:dyDescent="0.4">
      <c r="A61" s="215" t="s">
        <v>76</v>
      </c>
      <c r="B61" s="216">
        <v>100</v>
      </c>
      <c r="C61" s="395"/>
      <c r="D61" s="398"/>
      <c r="E61" s="275">
        <v>2</v>
      </c>
      <c r="F61" s="228">
        <v>5714015</v>
      </c>
      <c r="G61" s="339">
        <f>IF(ISBLANK(F61),"-",(F61/$D$50*$D$47*$B$68)*($B$57/$D$60))</f>
        <v>781.64152451739665</v>
      </c>
      <c r="H61" s="357">
        <f t="shared" si="0"/>
        <v>97.705190564674581</v>
      </c>
      <c r="L61" s="203"/>
    </row>
    <row r="62" spans="1:12" s="2" customFormat="1" ht="26.25" customHeight="1" x14ac:dyDescent="0.4">
      <c r="A62" s="215" t="s">
        <v>77</v>
      </c>
      <c r="B62" s="216">
        <v>1</v>
      </c>
      <c r="C62" s="395"/>
      <c r="D62" s="398"/>
      <c r="E62" s="275">
        <v>3</v>
      </c>
      <c r="F62" s="276">
        <v>5731423</v>
      </c>
      <c r="G62" s="339">
        <f>IF(ISBLANK(F62),"-",(F62/$D$50*$D$47*$B$68)*($B$57/$D$60))</f>
        <v>784.02283007203698</v>
      </c>
      <c r="H62" s="357">
        <f t="shared" si="0"/>
        <v>98.002853759004623</v>
      </c>
      <c r="L62" s="203"/>
    </row>
    <row r="63" spans="1:12" ht="27" customHeight="1" x14ac:dyDescent="0.4">
      <c r="A63" s="215" t="s">
        <v>78</v>
      </c>
      <c r="B63" s="216">
        <v>1</v>
      </c>
      <c r="C63" s="404"/>
      <c r="D63" s="399"/>
      <c r="E63" s="277">
        <v>4</v>
      </c>
      <c r="F63" s="278"/>
      <c r="G63" s="339" t="str">
        <f>IF(ISBLANK(F63),"-",(F63/$D$50*$D$47*$B$68)*($B$57/$D$60))</f>
        <v>-</v>
      </c>
      <c r="H63" s="357" t="str">
        <f t="shared" si="0"/>
        <v>-</v>
      </c>
    </row>
    <row r="64" spans="1:12" ht="26.25" customHeight="1" x14ac:dyDescent="0.4">
      <c r="A64" s="215" t="s">
        <v>79</v>
      </c>
      <c r="B64" s="216">
        <v>1</v>
      </c>
      <c r="C64" s="394" t="s">
        <v>80</v>
      </c>
      <c r="D64" s="397">
        <f>trimethoprim!D64</f>
        <v>1077.9100000000001</v>
      </c>
      <c r="E64" s="273">
        <v>1</v>
      </c>
      <c r="F64" s="274">
        <v>5708779</v>
      </c>
      <c r="G64" s="338">
        <f>IF(ISBLANK(F64),"-",(F64/$D$50*$D$47*$B$68)*($B$57/$D$64))</f>
        <v>777.64337370361545</v>
      </c>
      <c r="H64" s="356">
        <f t="shared" si="0"/>
        <v>97.205421712951932</v>
      </c>
    </row>
    <row r="65" spans="1:8" ht="26.25" customHeight="1" x14ac:dyDescent="0.4">
      <c r="A65" s="215" t="s">
        <v>81</v>
      </c>
      <c r="B65" s="216">
        <v>1</v>
      </c>
      <c r="C65" s="395"/>
      <c r="D65" s="398"/>
      <c r="E65" s="275">
        <v>2</v>
      </c>
      <c r="F65" s="228">
        <v>5771654</v>
      </c>
      <c r="G65" s="339">
        <f>IF(ISBLANK(F65),"-",(F65/$D$50*$D$47*$B$68)*($B$57/$D$64))</f>
        <v>786.20813459585077</v>
      </c>
      <c r="H65" s="357">
        <f t="shared" si="0"/>
        <v>98.276016824481346</v>
      </c>
    </row>
    <row r="66" spans="1:8" ht="26.25" customHeight="1" x14ac:dyDescent="0.4">
      <c r="A66" s="215" t="s">
        <v>82</v>
      </c>
      <c r="B66" s="216">
        <v>1</v>
      </c>
      <c r="C66" s="395"/>
      <c r="D66" s="398"/>
      <c r="E66" s="275">
        <v>3</v>
      </c>
      <c r="F66" s="228">
        <v>5764264</v>
      </c>
      <c r="G66" s="339">
        <f>IF(ISBLANK(F66),"-",(F66/$D$50*$D$47*$B$68)*($B$57/$D$64))</f>
        <v>785.20147721225442</v>
      </c>
      <c r="H66" s="357">
        <f t="shared" si="0"/>
        <v>98.150184651531802</v>
      </c>
    </row>
    <row r="67" spans="1:8" ht="27" customHeight="1" x14ac:dyDescent="0.4">
      <c r="A67" s="215" t="s">
        <v>83</v>
      </c>
      <c r="B67" s="216">
        <v>1</v>
      </c>
      <c r="C67" s="404"/>
      <c r="D67" s="399"/>
      <c r="E67" s="277">
        <v>4</v>
      </c>
      <c r="F67" s="278"/>
      <c r="G67" s="355" t="str">
        <f>IF(ISBLANK(F67),"-",(F67/$D$50*$D$47*$B$68)*($B$57/$D$64))</f>
        <v>-</v>
      </c>
      <c r="H67" s="358" t="str">
        <f t="shared" si="0"/>
        <v>-</v>
      </c>
    </row>
    <row r="68" spans="1:8" ht="26.25" customHeight="1" x14ac:dyDescent="0.4">
      <c r="A68" s="215" t="s">
        <v>84</v>
      </c>
      <c r="B68" s="279">
        <f>(B67/B66)*(B65/B64)*(B63/B62)*(B61/B60)*B59</f>
        <v>5000</v>
      </c>
      <c r="C68" s="394" t="s">
        <v>85</v>
      </c>
      <c r="D68" s="397">
        <f>trimethoprim!D68</f>
        <v>1077.29</v>
      </c>
      <c r="E68" s="273">
        <v>1</v>
      </c>
      <c r="F68" s="274">
        <v>5614065</v>
      </c>
      <c r="G68" s="338">
        <f>IF(ISBLANK(F68),"-",(F68/$D$50*$D$47*$B$68)*($B$57/$D$68))</f>
        <v>765.18166316618544</v>
      </c>
      <c r="H68" s="357">
        <f t="shared" si="0"/>
        <v>95.647707895773181</v>
      </c>
    </row>
    <row r="69" spans="1:8" ht="27" customHeight="1" x14ac:dyDescent="0.4">
      <c r="A69" s="263" t="s">
        <v>86</v>
      </c>
      <c r="B69" s="280">
        <f>(D47*B68)/B56*B57</f>
        <v>1082.2739999999999</v>
      </c>
      <c r="C69" s="395"/>
      <c r="D69" s="398"/>
      <c r="E69" s="275">
        <v>2</v>
      </c>
      <c r="F69" s="228">
        <v>5678078</v>
      </c>
      <c r="G69" s="339">
        <f>IF(ISBLANK(F69),"-",(F69/$D$50*$D$47*$B$68)*($B$57/$D$68))</f>
        <v>773.90645951326314</v>
      </c>
      <c r="H69" s="357">
        <f t="shared" si="0"/>
        <v>96.738307439157893</v>
      </c>
    </row>
    <row r="70" spans="1:8" ht="26.25" customHeight="1" x14ac:dyDescent="0.4">
      <c r="A70" s="400" t="s">
        <v>59</v>
      </c>
      <c r="B70" s="401"/>
      <c r="C70" s="395"/>
      <c r="D70" s="398"/>
      <c r="E70" s="275">
        <v>3</v>
      </c>
      <c r="F70" s="228">
        <v>5670626</v>
      </c>
      <c r="G70" s="339">
        <f>IF(ISBLANK(F70),"-",(F70/$D$50*$D$47*$B$68)*($B$57/$D$68))</f>
        <v>772.89077235005527</v>
      </c>
      <c r="H70" s="357">
        <f t="shared" si="0"/>
        <v>96.611346543756909</v>
      </c>
    </row>
    <row r="71" spans="1:8" ht="27" customHeight="1" x14ac:dyDescent="0.4">
      <c r="A71" s="402"/>
      <c r="B71" s="403"/>
      <c r="C71" s="396"/>
      <c r="D71" s="399"/>
      <c r="E71" s="277">
        <v>4</v>
      </c>
      <c r="F71" s="278"/>
      <c r="G71" s="355" t="str">
        <f>IF(ISBLANK(F71),"-",(F71/$D$50*$D$47*$B$68)*($B$57/$D$68))</f>
        <v>-</v>
      </c>
      <c r="H71" s="358" t="str">
        <f t="shared" si="0"/>
        <v>-</v>
      </c>
    </row>
    <row r="72" spans="1:8" ht="26.25" customHeight="1" x14ac:dyDescent="0.4">
      <c r="A72" s="281"/>
      <c r="B72" s="281"/>
      <c r="C72" s="281"/>
      <c r="D72" s="281"/>
      <c r="E72" s="281"/>
      <c r="F72" s="283" t="s">
        <v>52</v>
      </c>
      <c r="G72" s="344">
        <f>AVERAGE(G60:G71)</f>
        <v>777.92900054927202</v>
      </c>
      <c r="H72" s="359">
        <f>AVERAGE(H60:H71)</f>
        <v>97.241125068659002</v>
      </c>
    </row>
    <row r="73" spans="1:8" ht="26.25" customHeight="1" x14ac:dyDescent="0.4">
      <c r="C73" s="281"/>
      <c r="D73" s="281"/>
      <c r="E73" s="281"/>
      <c r="F73" s="284" t="s">
        <v>65</v>
      </c>
      <c r="G73" s="343">
        <f>STDEV(G60:G71)/G72</f>
        <v>8.9423721247125186E-3</v>
      </c>
      <c r="H73" s="343">
        <f>STDEV(H60:H71)/H72</f>
        <v>8.9423721247125186E-3</v>
      </c>
    </row>
    <row r="74" spans="1:8" ht="27" customHeight="1" x14ac:dyDescent="0.4">
      <c r="A74" s="281"/>
      <c r="B74" s="281"/>
      <c r="C74" s="282"/>
      <c r="D74" s="282"/>
      <c r="E74" s="285"/>
      <c r="F74" s="286" t="s">
        <v>6</v>
      </c>
      <c r="G74" s="287">
        <f>COUNT(G60:G71)</f>
        <v>9</v>
      </c>
      <c r="H74" s="287">
        <f>COUNT(H60:H71)</f>
        <v>9</v>
      </c>
    </row>
    <row r="76" spans="1:8" ht="26.25" customHeight="1" x14ac:dyDescent="0.4">
      <c r="A76" s="199" t="s">
        <v>87</v>
      </c>
      <c r="B76" s="288" t="s">
        <v>88</v>
      </c>
      <c r="C76" s="381" t="str">
        <f>B26</f>
        <v>Sulfamethoxazole</v>
      </c>
      <c r="D76" s="381"/>
      <c r="E76" s="289" t="s">
        <v>89</v>
      </c>
      <c r="F76" s="289"/>
      <c r="G76" s="290">
        <f>H72</f>
        <v>97.241125068659002</v>
      </c>
      <c r="H76" s="291"/>
    </row>
    <row r="77" spans="1:8" ht="18.75" x14ac:dyDescent="0.3">
      <c r="A77" s="198" t="s">
        <v>90</v>
      </c>
      <c r="B77" s="198" t="s">
        <v>91</v>
      </c>
    </row>
    <row r="78" spans="1:8" ht="18.75" x14ac:dyDescent="0.3">
      <c r="A78" s="198"/>
      <c r="B78" s="198"/>
    </row>
    <row r="79" spans="1:8" ht="26.25" customHeight="1" x14ac:dyDescent="0.4">
      <c r="A79" s="199" t="s">
        <v>1</v>
      </c>
      <c r="B79" s="415" t="str">
        <f>B26</f>
        <v>Sulfamethoxazole</v>
      </c>
      <c r="C79" s="415"/>
    </row>
    <row r="80" spans="1:8" ht="26.25" customHeight="1" x14ac:dyDescent="0.4">
      <c r="A80" s="200" t="s">
        <v>29</v>
      </c>
      <c r="B80" s="415" t="str">
        <f>B27</f>
        <v>NDQE201607028</v>
      </c>
      <c r="C80" s="415"/>
    </row>
    <row r="81" spans="1:12" ht="27" customHeight="1" x14ac:dyDescent="0.4">
      <c r="A81" s="200" t="s">
        <v>3</v>
      </c>
      <c r="B81" s="292">
        <f>B28</f>
        <v>99.28</v>
      </c>
    </row>
    <row r="82" spans="1:12" s="2" customFormat="1" ht="27" customHeight="1" x14ac:dyDescent="0.4">
      <c r="A82" s="200" t="s">
        <v>30</v>
      </c>
      <c r="B82" s="202">
        <v>0</v>
      </c>
      <c r="C82" s="383" t="s">
        <v>31</v>
      </c>
      <c r="D82" s="384"/>
      <c r="E82" s="384"/>
      <c r="F82" s="384"/>
      <c r="G82" s="385"/>
      <c r="I82" s="203"/>
      <c r="J82" s="203"/>
      <c r="K82" s="203"/>
      <c r="L82" s="203"/>
    </row>
    <row r="83" spans="1:12" s="2" customFormat="1" ht="19.5" customHeight="1" x14ac:dyDescent="0.3">
      <c r="A83" s="200" t="s">
        <v>32</v>
      </c>
      <c r="B83" s="204">
        <f>B81-B82</f>
        <v>99.28</v>
      </c>
      <c r="C83" s="205"/>
      <c r="D83" s="205"/>
      <c r="E83" s="205"/>
      <c r="F83" s="205"/>
      <c r="G83" s="206"/>
      <c r="I83" s="203"/>
      <c r="J83" s="203"/>
      <c r="K83" s="203"/>
      <c r="L83" s="203"/>
    </row>
    <row r="84" spans="1:12" s="2" customFormat="1" ht="27" customHeight="1" x14ac:dyDescent="0.4">
      <c r="A84" s="200" t="s">
        <v>33</v>
      </c>
      <c r="B84" s="207">
        <v>1</v>
      </c>
      <c r="C84" s="386" t="s">
        <v>92</v>
      </c>
      <c r="D84" s="387"/>
      <c r="E84" s="387"/>
      <c r="F84" s="387"/>
      <c r="G84" s="387"/>
      <c r="H84" s="388"/>
      <c r="I84" s="203"/>
      <c r="J84" s="203"/>
      <c r="K84" s="203"/>
      <c r="L84" s="203"/>
    </row>
    <row r="85" spans="1:12" s="2" customFormat="1" ht="27" customHeight="1" x14ac:dyDescent="0.4">
      <c r="A85" s="200" t="s">
        <v>35</v>
      </c>
      <c r="B85" s="207">
        <v>1</v>
      </c>
      <c r="C85" s="386" t="s">
        <v>93</v>
      </c>
      <c r="D85" s="387"/>
      <c r="E85" s="387"/>
      <c r="F85" s="387"/>
      <c r="G85" s="387"/>
      <c r="H85" s="388"/>
      <c r="I85" s="203"/>
      <c r="J85" s="203"/>
      <c r="K85" s="203"/>
      <c r="L85" s="203"/>
    </row>
    <row r="86" spans="1:12" s="2" customFormat="1" ht="18.75" x14ac:dyDescent="0.3">
      <c r="A86" s="200"/>
      <c r="B86" s="210"/>
      <c r="C86" s="211"/>
      <c r="D86" s="211"/>
      <c r="E86" s="211"/>
      <c r="F86" s="211"/>
      <c r="G86" s="211"/>
      <c r="H86" s="211"/>
      <c r="I86" s="203"/>
      <c r="J86" s="203"/>
      <c r="K86" s="203"/>
      <c r="L86" s="203"/>
    </row>
    <row r="87" spans="1:12" s="2" customFormat="1" ht="18.75" x14ac:dyDescent="0.3">
      <c r="A87" s="200" t="s">
        <v>37</v>
      </c>
      <c r="B87" s="212">
        <f>B84/B85</f>
        <v>1</v>
      </c>
      <c r="C87" s="190" t="s">
        <v>38</v>
      </c>
      <c r="D87" s="190"/>
      <c r="E87" s="190"/>
      <c r="F87" s="190"/>
      <c r="G87" s="190"/>
      <c r="I87" s="203"/>
      <c r="J87" s="203"/>
      <c r="K87" s="203"/>
      <c r="L87" s="203"/>
    </row>
    <row r="88" spans="1:12" ht="19.5" customHeight="1" x14ac:dyDescent="0.3">
      <c r="A88" s="198"/>
      <c r="B88" s="198"/>
    </row>
    <row r="89" spans="1:12" ht="27" customHeight="1" x14ac:dyDescent="0.4">
      <c r="A89" s="213" t="s">
        <v>39</v>
      </c>
      <c r="B89" s="214">
        <v>100</v>
      </c>
      <c r="D89" s="293" t="s">
        <v>40</v>
      </c>
      <c r="E89" s="294"/>
      <c r="F89" s="389" t="s">
        <v>41</v>
      </c>
      <c r="G89" s="390"/>
    </row>
    <row r="90" spans="1:12" ht="27" customHeight="1" x14ac:dyDescent="0.4">
      <c r="A90" s="215" t="s">
        <v>42</v>
      </c>
      <c r="B90" s="216">
        <v>1</v>
      </c>
      <c r="C90" s="295" t="s">
        <v>43</v>
      </c>
      <c r="D90" s="218" t="s">
        <v>44</v>
      </c>
      <c r="E90" s="219" t="s">
        <v>45</v>
      </c>
      <c r="F90" s="218" t="s">
        <v>44</v>
      </c>
      <c r="G90" s="296" t="s">
        <v>45</v>
      </c>
      <c r="I90" s="221" t="s">
        <v>46</v>
      </c>
    </row>
    <row r="91" spans="1:12" ht="26.25" customHeight="1" x14ac:dyDescent="0.4">
      <c r="A91" s="215" t="s">
        <v>47</v>
      </c>
      <c r="B91" s="216">
        <v>1</v>
      </c>
      <c r="C91" s="297">
        <v>1</v>
      </c>
      <c r="D91" s="223">
        <v>5233427</v>
      </c>
      <c r="E91" s="224">
        <f>IF(ISBLANK(D91),"-",$D$101/$D$98*D91)</f>
        <v>6507877.7071457701</v>
      </c>
      <c r="F91" s="223">
        <v>6892109</v>
      </c>
      <c r="G91" s="225">
        <f>IF(ISBLANK(F91),"-",$D$101/$F$98*F91)</f>
        <v>6596203.6347550694</v>
      </c>
      <c r="I91" s="226"/>
    </row>
    <row r="92" spans="1:12" ht="26.25" customHeight="1" x14ac:dyDescent="0.4">
      <c r="A92" s="215" t="s">
        <v>48</v>
      </c>
      <c r="B92" s="216">
        <v>1</v>
      </c>
      <c r="C92" s="282">
        <v>2</v>
      </c>
      <c r="D92" s="228">
        <v>5231083</v>
      </c>
      <c r="E92" s="229">
        <f>IF(ISBLANK(D92),"-",$D$101/$D$98*D92)</f>
        <v>6504962.8933257721</v>
      </c>
      <c r="F92" s="228">
        <v>6894375</v>
      </c>
      <c r="G92" s="230">
        <f>IF(ISBLANK(F92),"-",$D$101/$F$98*F92)</f>
        <v>6598372.3464565752</v>
      </c>
      <c r="I92" s="391">
        <f>ABS((F96/D96*D95)-F95)/D95</f>
        <v>1.700423319855698E-2</v>
      </c>
    </row>
    <row r="93" spans="1:12" ht="26.25" customHeight="1" x14ac:dyDescent="0.4">
      <c r="A93" s="215" t="s">
        <v>49</v>
      </c>
      <c r="B93" s="216">
        <v>1</v>
      </c>
      <c r="C93" s="282">
        <v>3</v>
      </c>
      <c r="D93" s="228">
        <v>5239133</v>
      </c>
      <c r="E93" s="229">
        <f>IF(ISBLANK(D93),"-",$D$101/$D$98*D93)</f>
        <v>6514973.2394226082</v>
      </c>
      <c r="F93" s="228">
        <v>6884375</v>
      </c>
      <c r="G93" s="230">
        <f>IF(ISBLANK(F93),"-",$D$101/$F$98*F93)</f>
        <v>6588801.6858144477</v>
      </c>
      <c r="I93" s="391"/>
    </row>
    <row r="94" spans="1:12" ht="27" customHeight="1" x14ac:dyDescent="0.4">
      <c r="A94" s="215" t="s">
        <v>50</v>
      </c>
      <c r="B94" s="216">
        <v>1</v>
      </c>
      <c r="C94" s="298">
        <v>4</v>
      </c>
      <c r="D94" s="233"/>
      <c r="E94" s="234" t="str">
        <f>IF(ISBLANK(D94),"-",$D$101/$D$98*D94)</f>
        <v>-</v>
      </c>
      <c r="F94" s="233"/>
      <c r="G94" s="235" t="str">
        <f>IF(ISBLANK(F94),"-",$D$101/$F$98*F94)</f>
        <v>-</v>
      </c>
      <c r="I94" s="236"/>
    </row>
    <row r="95" spans="1:12" ht="27" customHeight="1" x14ac:dyDescent="0.4">
      <c r="A95" s="215" t="s">
        <v>51</v>
      </c>
      <c r="B95" s="216">
        <v>1</v>
      </c>
      <c r="C95" s="299" t="s">
        <v>52</v>
      </c>
      <c r="D95" s="300">
        <f>AVERAGE(D91:D94)</f>
        <v>5234547.666666667</v>
      </c>
      <c r="E95" s="239">
        <f>AVERAGE(E91:E94)</f>
        <v>6509271.2799647162</v>
      </c>
      <c r="F95" s="301">
        <f>AVERAGE(F91:F94)</f>
        <v>6890286.333333333</v>
      </c>
      <c r="G95" s="302">
        <f>AVERAGE(G91:G94)</f>
        <v>6594459.2223420301</v>
      </c>
    </row>
    <row r="96" spans="1:12" ht="26.25" customHeight="1" x14ac:dyDescent="0.4">
      <c r="A96" s="215" t="s">
        <v>53</v>
      </c>
      <c r="B96" s="201">
        <v>1</v>
      </c>
      <c r="C96" s="303" t="s">
        <v>94</v>
      </c>
      <c r="D96" s="304">
        <f>D43</f>
        <v>14.4</v>
      </c>
      <c r="E96" s="231"/>
      <c r="F96" s="243">
        <f>F43</f>
        <v>18.71</v>
      </c>
    </row>
    <row r="97" spans="1:10" ht="26.25" customHeight="1" x14ac:dyDescent="0.4">
      <c r="A97" s="215" t="s">
        <v>55</v>
      </c>
      <c r="B97" s="201">
        <v>1</v>
      </c>
      <c r="C97" s="305" t="s">
        <v>95</v>
      </c>
      <c r="D97" s="306">
        <f>D96*$B$87</f>
        <v>14.4</v>
      </c>
      <c r="E97" s="246"/>
      <c r="F97" s="245">
        <f>F96*$B$87</f>
        <v>18.71</v>
      </c>
    </row>
    <row r="98" spans="1:10" ht="19.5" customHeight="1" x14ac:dyDescent="0.3">
      <c r="A98" s="215" t="s">
        <v>57</v>
      </c>
      <c r="B98" s="307">
        <f>(B97/B96)*(B95/B94)*(B93/B92)*(B91/B90)*B89</f>
        <v>100</v>
      </c>
      <c r="C98" s="305" t="s">
        <v>96</v>
      </c>
      <c r="D98" s="308">
        <f>D97*$B$83/100</f>
        <v>14.296320000000001</v>
      </c>
      <c r="E98" s="249"/>
      <c r="F98" s="248">
        <f>F97*$B$83/100</f>
        <v>18.575288</v>
      </c>
    </row>
    <row r="99" spans="1:10" ht="19.5" customHeight="1" x14ac:dyDescent="0.3">
      <c r="A99" s="377" t="s">
        <v>59</v>
      </c>
      <c r="B99" s="392"/>
      <c r="C99" s="305" t="s">
        <v>97</v>
      </c>
      <c r="D99" s="309">
        <f>D98/$B$98</f>
        <v>0.14296320000000001</v>
      </c>
      <c r="E99" s="249"/>
      <c r="F99" s="252">
        <f>F98/$B$98</f>
        <v>0.18575288000000001</v>
      </c>
      <c r="G99" s="310"/>
      <c r="H99" s="241"/>
    </row>
    <row r="100" spans="1:10" ht="19.5" customHeight="1" x14ac:dyDescent="0.3">
      <c r="A100" s="379"/>
      <c r="B100" s="393"/>
      <c r="C100" s="305" t="s">
        <v>61</v>
      </c>
      <c r="D100" s="311">
        <f>$B$56/$B$116</f>
        <v>0.17777777777777778</v>
      </c>
      <c r="F100" s="257"/>
      <c r="G100" s="312"/>
      <c r="H100" s="241"/>
    </row>
    <row r="101" spans="1:10" ht="18.75" x14ac:dyDescent="0.3">
      <c r="C101" s="305" t="s">
        <v>62</v>
      </c>
      <c r="D101" s="306">
        <f>D100*$B$98</f>
        <v>17.777777777777779</v>
      </c>
      <c r="F101" s="257"/>
      <c r="G101" s="310"/>
      <c r="H101" s="241"/>
    </row>
    <row r="102" spans="1:10" ht="19.5" customHeight="1" x14ac:dyDescent="0.3">
      <c r="C102" s="313" t="s">
        <v>63</v>
      </c>
      <c r="D102" s="314">
        <f>D101/B34</f>
        <v>17.777777777777779</v>
      </c>
      <c r="F102" s="261"/>
      <c r="G102" s="310"/>
      <c r="H102" s="241"/>
      <c r="J102" s="315"/>
    </row>
    <row r="103" spans="1:10" ht="18.75" x14ac:dyDescent="0.3">
      <c r="C103" s="316" t="s">
        <v>98</v>
      </c>
      <c r="D103" s="317">
        <f>AVERAGE(E91:E94,G91:G94)</f>
        <v>6551865.251153375</v>
      </c>
      <c r="F103" s="261"/>
      <c r="G103" s="318"/>
      <c r="H103" s="241"/>
      <c r="J103" s="319"/>
    </row>
    <row r="104" spans="1:10" ht="18.75" x14ac:dyDescent="0.3">
      <c r="C104" s="284" t="s">
        <v>65</v>
      </c>
      <c r="D104" s="320">
        <f>STDEV(E91:E94,G91:G94)/D103</f>
        <v>7.1552749005458936E-3</v>
      </c>
      <c r="F104" s="261"/>
      <c r="G104" s="310"/>
      <c r="H104" s="241"/>
      <c r="J104" s="319"/>
    </row>
    <row r="105" spans="1:10" ht="19.5" customHeight="1" x14ac:dyDescent="0.3">
      <c r="C105" s="286" t="s">
        <v>6</v>
      </c>
      <c r="D105" s="321">
        <f>COUNT(E91:E94,G91:G94)</f>
        <v>6</v>
      </c>
      <c r="F105" s="261"/>
      <c r="G105" s="310"/>
      <c r="H105" s="241"/>
      <c r="J105" s="319"/>
    </row>
    <row r="106" spans="1:10" ht="19.5" customHeight="1" x14ac:dyDescent="0.3">
      <c r="A106" s="265"/>
      <c r="B106" s="265"/>
      <c r="C106" s="265"/>
      <c r="D106" s="265"/>
      <c r="E106" s="265"/>
    </row>
    <row r="107" spans="1:10" ht="27" customHeight="1" x14ac:dyDescent="0.4">
      <c r="A107" s="213" t="s">
        <v>99</v>
      </c>
      <c r="B107" s="214">
        <v>900</v>
      </c>
      <c r="C107" s="360" t="s">
        <v>100</v>
      </c>
      <c r="D107" s="360" t="s">
        <v>44</v>
      </c>
      <c r="E107" s="360" t="s">
        <v>101</v>
      </c>
      <c r="F107" s="322" t="s">
        <v>102</v>
      </c>
    </row>
    <row r="108" spans="1:10" ht="26.25" customHeight="1" x14ac:dyDescent="0.4">
      <c r="A108" s="215" t="s">
        <v>103</v>
      </c>
      <c r="B108" s="216">
        <v>5</v>
      </c>
      <c r="C108" s="365">
        <v>1</v>
      </c>
      <c r="D108" s="366">
        <v>6337141</v>
      </c>
      <c r="E108" s="340">
        <f t="shared" ref="E108:E113" si="1">IF(ISBLANK(D108),"-",D108/$D$103*$D$100*$B$116)</f>
        <v>773.78160350711426</v>
      </c>
      <c r="F108" s="367">
        <f t="shared" ref="F108:F113" si="2">IF(ISBLANK(D108), "-", (E108/$B$56)*100)</f>
        <v>96.722700438389282</v>
      </c>
    </row>
    <row r="109" spans="1:10" ht="26.25" customHeight="1" x14ac:dyDescent="0.4">
      <c r="A109" s="215" t="s">
        <v>76</v>
      </c>
      <c r="B109" s="216">
        <v>25</v>
      </c>
      <c r="C109" s="361">
        <v>2</v>
      </c>
      <c r="D109" s="363">
        <v>6338271</v>
      </c>
      <c r="E109" s="341">
        <f t="shared" si="1"/>
        <v>773.91957948271011</v>
      </c>
      <c r="F109" s="368">
        <f t="shared" si="2"/>
        <v>96.739947435338763</v>
      </c>
    </row>
    <row r="110" spans="1:10" ht="26.25" customHeight="1" x14ac:dyDescent="0.4">
      <c r="A110" s="215" t="s">
        <v>77</v>
      </c>
      <c r="B110" s="216">
        <v>1</v>
      </c>
      <c r="C110" s="361">
        <v>3</v>
      </c>
      <c r="D110" s="363">
        <v>6346113</v>
      </c>
      <c r="E110" s="341">
        <f t="shared" si="1"/>
        <v>774.87710833281812</v>
      </c>
      <c r="F110" s="368">
        <f t="shared" si="2"/>
        <v>96.859638541602266</v>
      </c>
    </row>
    <row r="111" spans="1:10" ht="26.25" customHeight="1" x14ac:dyDescent="0.4">
      <c r="A111" s="215" t="s">
        <v>78</v>
      </c>
      <c r="B111" s="216">
        <v>1</v>
      </c>
      <c r="C111" s="361">
        <v>4</v>
      </c>
      <c r="D111" s="363">
        <v>6351473</v>
      </c>
      <c r="E111" s="341">
        <f t="shared" si="1"/>
        <v>775.53157844714849</v>
      </c>
      <c r="F111" s="368">
        <f t="shared" si="2"/>
        <v>96.941447305893561</v>
      </c>
    </row>
    <row r="112" spans="1:10" ht="26.25" customHeight="1" x14ac:dyDescent="0.4">
      <c r="A112" s="215" t="s">
        <v>79</v>
      </c>
      <c r="B112" s="216">
        <v>1</v>
      </c>
      <c r="C112" s="361">
        <v>5</v>
      </c>
      <c r="D112" s="363">
        <v>6351427</v>
      </c>
      <c r="E112" s="341">
        <f t="shared" si="1"/>
        <v>775.52596172601818</v>
      </c>
      <c r="F112" s="368">
        <f t="shared" si="2"/>
        <v>96.940745215752273</v>
      </c>
    </row>
    <row r="113" spans="1:10" ht="27" customHeight="1" x14ac:dyDescent="0.4">
      <c r="A113" s="215" t="s">
        <v>81</v>
      </c>
      <c r="B113" s="216">
        <v>1</v>
      </c>
      <c r="C113" s="362">
        <v>6</v>
      </c>
      <c r="D113" s="364">
        <v>6352001</v>
      </c>
      <c r="E113" s="342">
        <f t="shared" si="1"/>
        <v>775.59604863751531</v>
      </c>
      <c r="F113" s="369">
        <f t="shared" si="2"/>
        <v>96.949506079689414</v>
      </c>
    </row>
    <row r="114" spans="1:10" ht="27" customHeight="1" x14ac:dyDescent="0.4">
      <c r="A114" s="215" t="s">
        <v>82</v>
      </c>
      <c r="B114" s="216">
        <v>1</v>
      </c>
      <c r="C114" s="323"/>
      <c r="D114" s="282"/>
      <c r="E114" s="189"/>
      <c r="F114" s="370"/>
    </row>
    <row r="115" spans="1:10" ht="26.25" customHeight="1" x14ac:dyDescent="0.4">
      <c r="A115" s="215" t="s">
        <v>83</v>
      </c>
      <c r="B115" s="216">
        <v>1</v>
      </c>
      <c r="C115" s="323"/>
      <c r="D115" s="347" t="s">
        <v>52</v>
      </c>
      <c r="E115" s="349">
        <f>AVERAGE(E108:E113)</f>
        <v>774.87198002222067</v>
      </c>
      <c r="F115" s="371">
        <f>AVERAGE(F108:F113)</f>
        <v>96.858997502777584</v>
      </c>
    </row>
    <row r="116" spans="1:10" ht="27" customHeight="1" x14ac:dyDescent="0.4">
      <c r="A116" s="215" t="s">
        <v>84</v>
      </c>
      <c r="B116" s="247">
        <f>(B115/B114)*(B113/B112)*(B111/B110)*(B109/B108)*B107</f>
        <v>4500</v>
      </c>
      <c r="C116" s="324"/>
      <c r="D116" s="348" t="s">
        <v>65</v>
      </c>
      <c r="E116" s="346">
        <f>STDEV(E108:E113)/E115</f>
        <v>1.0771222364869952E-3</v>
      </c>
      <c r="F116" s="325">
        <f>STDEV(F108:F113)/F115</f>
        <v>1.0771222364869952E-3</v>
      </c>
      <c r="I116" s="189"/>
    </row>
    <row r="117" spans="1:10" ht="27" customHeight="1" x14ac:dyDescent="0.4">
      <c r="A117" s="377" t="s">
        <v>59</v>
      </c>
      <c r="B117" s="378"/>
      <c r="C117" s="326"/>
      <c r="D117" s="286" t="s">
        <v>6</v>
      </c>
      <c r="E117" s="351">
        <f>COUNT(E108:E113)</f>
        <v>6</v>
      </c>
      <c r="F117" s="352">
        <f>COUNT(F108:F113)</f>
        <v>6</v>
      </c>
      <c r="I117" s="189"/>
      <c r="J117" s="319"/>
    </row>
    <row r="118" spans="1:10" ht="26.25" customHeight="1" x14ac:dyDescent="0.3">
      <c r="A118" s="379"/>
      <c r="B118" s="380"/>
      <c r="C118" s="189"/>
      <c r="D118" s="350"/>
      <c r="E118" s="405" t="s">
        <v>104</v>
      </c>
      <c r="F118" s="406"/>
      <c r="G118" s="189"/>
      <c r="H118" s="189"/>
      <c r="I118" s="189"/>
    </row>
    <row r="119" spans="1:10" ht="25.5" customHeight="1" x14ac:dyDescent="0.4">
      <c r="A119" s="335"/>
      <c r="B119" s="211"/>
      <c r="C119" s="189"/>
      <c r="D119" s="348" t="s">
        <v>105</v>
      </c>
      <c r="E119" s="353">
        <f>MIN(E108:E113)</f>
        <v>773.78160350711426</v>
      </c>
      <c r="F119" s="372">
        <f>MIN(F108:F113)</f>
        <v>96.722700438389282</v>
      </c>
      <c r="G119" s="189"/>
      <c r="H119" s="189"/>
      <c r="I119" s="189"/>
    </row>
    <row r="120" spans="1:10" ht="24" customHeight="1" x14ac:dyDescent="0.4">
      <c r="A120" s="335"/>
      <c r="B120" s="211"/>
      <c r="C120" s="189"/>
      <c r="D120" s="258" t="s">
        <v>106</v>
      </c>
      <c r="E120" s="354">
        <f>MAX(E108:E113)</f>
        <v>775.59604863751531</v>
      </c>
      <c r="F120" s="373">
        <f>MAX(F108:F113)</f>
        <v>96.949506079689414</v>
      </c>
      <c r="G120" s="189"/>
      <c r="H120" s="189"/>
      <c r="I120" s="189"/>
    </row>
    <row r="121" spans="1:10" ht="27" customHeight="1" x14ac:dyDescent="0.3">
      <c r="A121" s="335"/>
      <c r="B121" s="211"/>
      <c r="C121" s="189"/>
      <c r="D121" s="189"/>
      <c r="E121" s="189"/>
      <c r="F121" s="282"/>
      <c r="G121" s="189"/>
      <c r="H121" s="189"/>
      <c r="I121" s="189"/>
    </row>
    <row r="122" spans="1:10" ht="25.5" customHeight="1" x14ac:dyDescent="0.3">
      <c r="A122" s="335"/>
      <c r="B122" s="211"/>
      <c r="C122" s="189"/>
      <c r="D122" s="189"/>
      <c r="E122" s="189"/>
      <c r="F122" s="282"/>
      <c r="G122" s="189"/>
      <c r="H122" s="189"/>
      <c r="I122" s="189"/>
    </row>
    <row r="123" spans="1:10" ht="18.75" x14ac:dyDescent="0.3">
      <c r="A123" s="335"/>
      <c r="B123" s="211"/>
      <c r="C123" s="189"/>
      <c r="D123" s="189"/>
      <c r="E123" s="189"/>
      <c r="F123" s="282"/>
      <c r="G123" s="189"/>
      <c r="H123" s="189"/>
      <c r="I123" s="189"/>
    </row>
    <row r="124" spans="1:10" ht="45.75" customHeight="1" x14ac:dyDescent="0.65">
      <c r="A124" s="199" t="s">
        <v>87</v>
      </c>
      <c r="B124" s="288" t="s">
        <v>107</v>
      </c>
      <c r="C124" s="381" t="str">
        <f>B26</f>
        <v>Sulfamethoxazole</v>
      </c>
      <c r="D124" s="381"/>
      <c r="E124" s="289" t="s">
        <v>108</v>
      </c>
      <c r="F124" s="289"/>
      <c r="G124" s="374">
        <f>F115</f>
        <v>96.858997502777584</v>
      </c>
      <c r="H124" s="189"/>
      <c r="I124" s="189"/>
    </row>
    <row r="125" spans="1:10" ht="45.75" customHeight="1" x14ac:dyDescent="0.65">
      <c r="A125" s="199"/>
      <c r="B125" s="288" t="s">
        <v>109</v>
      </c>
      <c r="C125" s="200" t="s">
        <v>110</v>
      </c>
      <c r="D125" s="374">
        <f>MIN(F108:F113)</f>
        <v>96.722700438389282</v>
      </c>
      <c r="E125" s="299" t="s">
        <v>111</v>
      </c>
      <c r="F125" s="374">
        <f>MAX(F108:F113)</f>
        <v>96.949506079689414</v>
      </c>
      <c r="G125" s="290"/>
      <c r="H125" s="189"/>
      <c r="I125" s="189"/>
    </row>
    <row r="126" spans="1:10" ht="19.5" customHeight="1" x14ac:dyDescent="0.3">
      <c r="A126" s="327"/>
      <c r="B126" s="327"/>
      <c r="C126" s="328"/>
      <c r="D126" s="328"/>
      <c r="E126" s="328"/>
      <c r="F126" s="328"/>
      <c r="G126" s="328"/>
      <c r="H126" s="328"/>
    </row>
    <row r="127" spans="1:10" ht="18.75" x14ac:dyDescent="0.3">
      <c r="B127" s="382" t="s">
        <v>7</v>
      </c>
      <c r="C127" s="382"/>
      <c r="E127" s="295" t="s">
        <v>8</v>
      </c>
      <c r="F127" s="329"/>
      <c r="G127" s="382" t="s">
        <v>9</v>
      </c>
      <c r="H127" s="382"/>
    </row>
    <row r="128" spans="1:10" ht="69.95" customHeight="1" x14ac:dyDescent="0.3">
      <c r="A128" s="330" t="s">
        <v>10</v>
      </c>
      <c r="B128" s="331"/>
      <c r="C128" s="331"/>
      <c r="E128" s="331"/>
      <c r="F128" s="189"/>
      <c r="G128" s="332"/>
      <c r="H128" s="332"/>
    </row>
    <row r="129" spans="1:9" ht="69.95" customHeight="1" x14ac:dyDescent="0.3">
      <c r="A129" s="330" t="s">
        <v>11</v>
      </c>
      <c r="B129" s="333"/>
      <c r="C129" s="333"/>
      <c r="E129" s="333"/>
      <c r="F129" s="189"/>
      <c r="G129" s="334"/>
      <c r="H129" s="334"/>
    </row>
    <row r="130" spans="1:9" ht="18.75" x14ac:dyDescent="0.3">
      <c r="A130" s="281"/>
      <c r="B130" s="281"/>
      <c r="C130" s="282"/>
      <c r="D130" s="282"/>
      <c r="E130" s="282"/>
      <c r="F130" s="285"/>
      <c r="G130" s="282"/>
      <c r="H130" s="282"/>
      <c r="I130" s="189"/>
    </row>
    <row r="131" spans="1:9" ht="18.75" x14ac:dyDescent="0.3">
      <c r="A131" s="281"/>
      <c r="B131" s="281"/>
      <c r="C131" s="282"/>
      <c r="D131" s="282"/>
      <c r="E131" s="282"/>
      <c r="F131" s="285"/>
      <c r="G131" s="282"/>
      <c r="H131" s="282"/>
      <c r="I131" s="189"/>
    </row>
    <row r="132" spans="1:9" ht="18.75" x14ac:dyDescent="0.3">
      <c r="A132" s="281"/>
      <c r="B132" s="281"/>
      <c r="C132" s="282"/>
      <c r="D132" s="282"/>
      <c r="E132" s="282"/>
      <c r="F132" s="285"/>
      <c r="G132" s="282"/>
      <c r="H132" s="282"/>
      <c r="I132" s="189"/>
    </row>
    <row r="133" spans="1:9" ht="18.75" x14ac:dyDescent="0.3">
      <c r="A133" s="281"/>
      <c r="B133" s="281"/>
      <c r="C133" s="282"/>
      <c r="D133" s="282"/>
      <c r="E133" s="282"/>
      <c r="F133" s="285"/>
      <c r="G133" s="282"/>
      <c r="H133" s="282"/>
      <c r="I133" s="189"/>
    </row>
    <row r="134" spans="1:9" ht="18.75" x14ac:dyDescent="0.3">
      <c r="A134" s="281"/>
      <c r="B134" s="281"/>
      <c r="C134" s="282"/>
      <c r="D134" s="282"/>
      <c r="E134" s="282"/>
      <c r="F134" s="285"/>
      <c r="G134" s="282"/>
      <c r="H134" s="282"/>
      <c r="I134" s="189"/>
    </row>
    <row r="135" spans="1:9" ht="18.75" x14ac:dyDescent="0.3">
      <c r="A135" s="281"/>
      <c r="B135" s="281"/>
      <c r="C135" s="282"/>
      <c r="D135" s="282"/>
      <c r="E135" s="282"/>
      <c r="F135" s="285"/>
      <c r="G135" s="282"/>
      <c r="H135" s="282"/>
      <c r="I135" s="189"/>
    </row>
    <row r="136" spans="1:9" ht="18.75" x14ac:dyDescent="0.3">
      <c r="A136" s="281"/>
      <c r="B136" s="281"/>
      <c r="C136" s="282"/>
      <c r="D136" s="282"/>
      <c r="E136" s="282"/>
      <c r="F136" s="285"/>
      <c r="G136" s="282"/>
      <c r="H136" s="282"/>
      <c r="I136" s="189"/>
    </row>
    <row r="137" spans="1:9" ht="18.75" x14ac:dyDescent="0.3">
      <c r="A137" s="281"/>
      <c r="B137" s="281"/>
      <c r="C137" s="282"/>
      <c r="D137" s="282"/>
      <c r="E137" s="282"/>
      <c r="F137" s="285"/>
      <c r="G137" s="282"/>
      <c r="H137" s="282"/>
      <c r="I137" s="189"/>
    </row>
    <row r="138" spans="1:9" ht="18.75" x14ac:dyDescent="0.3">
      <c r="A138" s="281"/>
      <c r="B138" s="281"/>
      <c r="C138" s="282"/>
      <c r="D138" s="282"/>
      <c r="E138" s="282"/>
      <c r="F138" s="285"/>
      <c r="G138" s="282"/>
      <c r="H138" s="282"/>
      <c r="I138" s="189"/>
    </row>
    <row r="250" spans="1:1" x14ac:dyDescent="0.25">
      <c r="A250" s="1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Uniformity</vt:lpstr>
      <vt:lpstr>trimethoprim</vt:lpstr>
      <vt:lpstr>sulfamethoxazole</vt:lpstr>
      <vt:lpstr>sulfamethoxazole!Print_Area</vt:lpstr>
      <vt:lpstr>trimethoprim!Print_Area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2017-01-27T10:05:59Z</cp:lastPrinted>
  <dcterms:created xsi:type="dcterms:W3CDTF">2005-07-05T10:19:27Z</dcterms:created>
  <dcterms:modified xsi:type="dcterms:W3CDTF">2017-01-27T10:09:03Z</dcterms:modified>
</cp:coreProperties>
</file>