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10" yWindow="495" windowWidth="20730" windowHeight="11685" activeTab="2"/>
  </bookViews>
  <sheets>
    <sheet name="Uniformity" sheetId="8" r:id="rId1"/>
    <sheet name="trimethoprim" sheetId="3" r:id="rId2"/>
    <sheet name="sulfamethoxazole" sheetId="4" r:id="rId3"/>
  </sheets>
  <definedNames>
    <definedName name="_xlnm.Print_Area" localSheetId="2">sulfamethoxazole!$A$1:$I$130</definedName>
    <definedName name="_xlnm.Print_Area" localSheetId="1">trimethoprim!$A$1:$I$130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49" i="8" l="1"/>
  <c r="B49" i="8"/>
  <c r="C46" i="8"/>
  <c r="D50" i="8" s="1"/>
  <c r="C45" i="8"/>
  <c r="D43" i="8"/>
  <c r="D39" i="8"/>
  <c r="D38" i="8"/>
  <c r="D36" i="8"/>
  <c r="D35" i="8"/>
  <c r="D31" i="8"/>
  <c r="D29" i="8"/>
  <c r="D28" i="8"/>
  <c r="D27" i="8"/>
  <c r="C19" i="8"/>
  <c r="D68" i="4"/>
  <c r="D64" i="4"/>
  <c r="D60" i="4"/>
  <c r="B19" i="4"/>
  <c r="F96" i="4"/>
  <c r="D96" i="4"/>
  <c r="F96" i="3"/>
  <c r="D96" i="3"/>
  <c r="C124" i="4"/>
  <c r="B116" i="4"/>
  <c r="D100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F97" i="4" l="1"/>
  <c r="D30" i="8"/>
  <c r="D37" i="8"/>
  <c r="B57" i="3"/>
  <c r="B57" i="4" s="1"/>
  <c r="B69" i="4" s="1"/>
  <c r="D32" i="8"/>
  <c r="D49" i="8"/>
  <c r="D25" i="8"/>
  <c r="D33" i="8"/>
  <c r="D41" i="8"/>
  <c r="C50" i="8"/>
  <c r="D24" i="8"/>
  <c r="D40" i="8"/>
  <c r="D26" i="8"/>
  <c r="D34" i="8"/>
  <c r="D42" i="8"/>
  <c r="B69" i="3"/>
  <c r="I92" i="4"/>
  <c r="D101" i="4"/>
  <c r="D102" i="4" s="1"/>
  <c r="D97" i="4"/>
  <c r="D98" i="4" s="1"/>
  <c r="D99" i="4" s="1"/>
  <c r="D101" i="3"/>
  <c r="F97" i="3"/>
  <c r="F98" i="3" s="1"/>
  <c r="F99" i="3" s="1"/>
  <c r="I92" i="3"/>
  <c r="D97" i="3"/>
  <c r="D98" i="3" s="1"/>
  <c r="F98" i="4"/>
  <c r="F99" i="4" s="1"/>
  <c r="F45" i="4"/>
  <c r="G40" i="4" s="1"/>
  <c r="I39" i="4"/>
  <c r="I39" i="3"/>
  <c r="D49" i="3"/>
  <c r="D44" i="3"/>
  <c r="F44" i="3"/>
  <c r="F45" i="3" s="1"/>
  <c r="G41" i="3" s="1"/>
  <c r="D45" i="3"/>
  <c r="E39" i="3" s="1"/>
  <c r="G39" i="4"/>
  <c r="G94" i="3"/>
  <c r="D102" i="3"/>
  <c r="E92" i="4"/>
  <c r="G94" i="4"/>
  <c r="E94" i="4"/>
  <c r="E41" i="4"/>
  <c r="G41" i="4"/>
  <c r="D44" i="4"/>
  <c r="D45" i="4" s="1"/>
  <c r="D46" i="4" s="1"/>
  <c r="D49" i="4"/>
  <c r="G93" i="4" l="1"/>
  <c r="G91" i="4"/>
  <c r="G92" i="3"/>
  <c r="D99" i="3"/>
  <c r="E92" i="3"/>
  <c r="E91" i="3"/>
  <c r="E94" i="3"/>
  <c r="E93" i="3"/>
  <c r="G93" i="3"/>
  <c r="G91" i="3"/>
  <c r="G38" i="4"/>
  <c r="G42" i="4" s="1"/>
  <c r="E91" i="4"/>
  <c r="G92" i="4"/>
  <c r="E93" i="4"/>
  <c r="F46" i="4"/>
  <c r="E39" i="4"/>
  <c r="G40" i="3"/>
  <c r="E41" i="3"/>
  <c r="D46" i="3"/>
  <c r="G38" i="3"/>
  <c r="E40" i="3"/>
  <c r="G39" i="3"/>
  <c r="E38" i="3"/>
  <c r="F46" i="3"/>
  <c r="E40" i="4"/>
  <c r="E38" i="4"/>
  <c r="G95" i="4" l="1"/>
  <c r="G95" i="3"/>
  <c r="D105" i="3"/>
  <c r="D103" i="3"/>
  <c r="E110" i="3" s="1"/>
  <c r="F110" i="3" s="1"/>
  <c r="E95" i="3"/>
  <c r="E95" i="4"/>
  <c r="D103" i="4"/>
  <c r="E112" i="4" s="1"/>
  <c r="F112" i="4" s="1"/>
  <c r="D105" i="4"/>
  <c r="D52" i="3"/>
  <c r="G42" i="3"/>
  <c r="E42" i="3"/>
  <c r="D50" i="3"/>
  <c r="G71" i="3" s="1"/>
  <c r="H71" i="3" s="1"/>
  <c r="D50" i="4"/>
  <c r="E42" i="4"/>
  <c r="D52" i="4"/>
  <c r="E111" i="3" l="1"/>
  <c r="F111" i="3" s="1"/>
  <c r="E109" i="3"/>
  <c r="F109" i="3" s="1"/>
  <c r="E108" i="3"/>
  <c r="E113" i="3"/>
  <c r="F113" i="3" s="1"/>
  <c r="G66" i="3"/>
  <c r="H66" i="3" s="1"/>
  <c r="G69" i="3"/>
  <c r="H69" i="3" s="1"/>
  <c r="D104" i="4"/>
  <c r="E109" i="4"/>
  <c r="F109" i="4" s="1"/>
  <c r="D104" i="3"/>
  <c r="E112" i="3"/>
  <c r="F112" i="3" s="1"/>
  <c r="E113" i="4"/>
  <c r="F113" i="4" s="1"/>
  <c r="E110" i="4"/>
  <c r="F110" i="4" s="1"/>
  <c r="E111" i="4"/>
  <c r="F111" i="4" s="1"/>
  <c r="E108" i="4"/>
  <c r="G67" i="3"/>
  <c r="H67" i="3" s="1"/>
  <c r="G70" i="3"/>
  <c r="H70" i="3" s="1"/>
  <c r="G60" i="3"/>
  <c r="H60" i="3" s="1"/>
  <c r="D51" i="3"/>
  <c r="G68" i="3"/>
  <c r="H68" i="3" s="1"/>
  <c r="G61" i="3"/>
  <c r="H61" i="3" s="1"/>
  <c r="G63" i="3"/>
  <c r="H63" i="3" s="1"/>
  <c r="G62" i="3"/>
  <c r="H62" i="3" s="1"/>
  <c r="G64" i="3"/>
  <c r="H64" i="3" s="1"/>
  <c r="G65" i="3"/>
  <c r="H65" i="3" s="1"/>
  <c r="F108" i="3"/>
  <c r="G65" i="4"/>
  <c r="H65" i="4" s="1"/>
  <c r="G61" i="4"/>
  <c r="H61" i="4" s="1"/>
  <c r="G64" i="4"/>
  <c r="H64" i="4" s="1"/>
  <c r="G60" i="4"/>
  <c r="G68" i="4"/>
  <c r="H68" i="4" s="1"/>
  <c r="G71" i="4"/>
  <c r="H71" i="4" s="1"/>
  <c r="G70" i="4"/>
  <c r="H70" i="4" s="1"/>
  <c r="G67" i="4"/>
  <c r="H67" i="4" s="1"/>
  <c r="G63" i="4"/>
  <c r="H63" i="4" s="1"/>
  <c r="G69" i="4"/>
  <c r="H69" i="4" s="1"/>
  <c r="G66" i="4"/>
  <c r="H66" i="4" s="1"/>
  <c r="G62" i="4"/>
  <c r="H62" i="4" s="1"/>
  <c r="D51" i="4"/>
  <c r="E115" i="3" l="1"/>
  <c r="E116" i="3" s="1"/>
  <c r="E120" i="3"/>
  <c r="E119" i="4"/>
  <c r="E117" i="3"/>
  <c r="E119" i="3"/>
  <c r="E115" i="4"/>
  <c r="E116" i="4" s="1"/>
  <c r="E117" i="4"/>
  <c r="E120" i="4"/>
  <c r="F108" i="4"/>
  <c r="D125" i="4" s="1"/>
  <c r="G74" i="3"/>
  <c r="G72" i="3"/>
  <c r="G73" i="3" s="1"/>
  <c r="H72" i="3"/>
  <c r="H74" i="3"/>
  <c r="G72" i="4"/>
  <c r="G73" i="4" s="1"/>
  <c r="H60" i="4"/>
  <c r="G74" i="4"/>
  <c r="F125" i="3"/>
  <c r="F117" i="3"/>
  <c r="D125" i="3"/>
  <c r="F120" i="3"/>
  <c r="F115" i="3"/>
  <c r="F119" i="3"/>
  <c r="F117" i="4" l="1"/>
  <c r="F120" i="4"/>
  <c r="F119" i="4"/>
  <c r="F115" i="4"/>
  <c r="G124" i="4" s="1"/>
  <c r="F125" i="4"/>
  <c r="H73" i="3"/>
  <c r="G76" i="3"/>
  <c r="F116" i="3"/>
  <c r="G124" i="3"/>
  <c r="H74" i="4"/>
  <c r="H72" i="4"/>
  <c r="F116" i="4" l="1"/>
  <c r="G76" i="4"/>
  <c r="H73" i="4"/>
</calcChain>
</file>

<file path=xl/sharedStrings.xml><?xml version="1.0" encoding="utf-8"?>
<sst xmlns="http://schemas.openxmlformats.org/spreadsheetml/2006/main" count="357" uniqueCount="120">
  <si>
    <t>Analysis Data</t>
  </si>
  <si>
    <t>Reference Substance:</t>
  </si>
  <si>
    <t>CO-TRIMOXAZOLE TABLETS</t>
  </si>
  <si>
    <t>% age Purity:</t>
  </si>
  <si>
    <t>Sulfamethoxazole BP 800 MG &amp; Trimethoprim BP 160 MG</t>
  </si>
  <si>
    <t>Each tablet contains Sulfamethoxazole 800 mg and Trimethoprim 160 mg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</si>
  <si>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</si>
  <si>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</si>
  <si>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</si>
  <si>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</si>
  <si>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</si>
  <si>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</si>
  <si>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</si>
  <si>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</si>
  <si>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</si>
  <si>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</si>
  <si>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</si>
  <si>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</si>
  <si>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</si>
  <si>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</si>
  <si>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</si>
  <si>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</si>
  <si>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</si>
  <si>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</si>
  <si>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</si>
  <si>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</si>
  <si>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</si>
  <si>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</si>
  <si>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</si>
  <si>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</si>
  <si>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</si>
  <si>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</si>
  <si>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</si>
  <si>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</si>
  <si>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</si>
  <si>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</si>
  <si>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</si>
  <si>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</si>
  <si>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</si>
  <si>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</si>
  <si>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</si>
  <si>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</si>
  <si>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</si>
  <si>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</si>
  <si>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</si>
  <si>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</si>
  <si>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</si>
  <si>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</si>
  <si>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</si>
  <si>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</si>
  <si>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</si>
  <si>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</si>
  <si>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</si>
  <si>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</si>
  <si>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</si>
  <si>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</si>
  <si>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</si>
  <si>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</si>
  <si>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</si>
  <si>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</si>
  <si>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</si>
  <si>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</si>
  <si>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</si>
  <si>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</si>
  <si>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</si>
  <si>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</si>
  <si>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</si>
  <si>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</si>
  <si>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</si>
  <si>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</si>
  <si>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</si>
  <si>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</si>
  <si>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</si>
  <si>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</si>
  <si>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</si>
  <si>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</si>
  <si>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</si>
  <si>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</si>
  <si>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</si>
  <si>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</si>
  <si>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</si>
  <si>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</si>
  <si>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</si>
  <si>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</si>
  <si>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</si>
  <si>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</si>
  <si>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</si>
  <si>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</si>
  <si>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</si>
  <si>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</si>
  <si>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</si>
  <si>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</si>
  <si>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</si>
  <si>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</si>
  <si>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</si>
  <si>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</si>
  <si>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 4</t>
  </si>
  <si>
    <t>Sulfamethoxazole</t>
  </si>
  <si>
    <t>Each tablet contains  Trimethoprim 160 mg</t>
  </si>
  <si>
    <t>Trimethoprim BP</t>
  </si>
  <si>
    <t>NDQB201701331</t>
  </si>
  <si>
    <t>2017-01-26 07:33:43</t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</si>
  <si>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</si>
  <si>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</si>
  <si>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</si>
  <si>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</si>
  <si>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</si>
  <si>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</si>
  <si>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</si>
  <si>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</si>
  <si>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</si>
  <si>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</si>
  <si>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</si>
  <si>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</si>
  <si>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</si>
  <si>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</si>
  <si>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</si>
  <si>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</si>
  <si>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(mL:</t>
    </r>
  </si>
  <si>
    <r>
      <t>NQCL-WRS-S</t>
    </r>
    <r>
      <rPr>
        <vertAlign val="subscript"/>
        <sz val="20"/>
        <color rgb="FFFF0000"/>
        <rFont val="Book Antiqua"/>
        <family val="1"/>
      </rPr>
      <t>12</t>
    </r>
    <r>
      <rPr>
        <sz val="20"/>
        <color rgb="FFFF0000"/>
        <rFont val="Book Antiqua"/>
        <family val="1"/>
      </rPr>
      <t>-6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</si>
</sst>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72"/>
      <color rgb="FFFF0000"/>
      <name val="Book Antiqua"/>
      <family val="1"/>
    </font>
    <font>
      <b/>
      <sz val="52"/>
      <color rgb="FFFF0000"/>
      <name val="Book Antiqua"/>
      <family val="1"/>
    </font>
    <font>
      <sz val="14"/>
      <color rgb="FFFF0000"/>
      <name val="Book Antiqua"/>
      <family val="1"/>
    </font>
    <font>
      <sz val="10"/>
      <color rgb="FFFF0000"/>
      <name val="Book Antiqua"/>
      <family val="1"/>
    </font>
    <font>
      <b/>
      <i/>
      <sz val="14"/>
      <color rgb="FFFF0000"/>
      <name val="Book Antiqua"/>
      <family val="1"/>
    </font>
    <font>
      <b/>
      <u/>
      <sz val="16"/>
      <color rgb="FFFF0000"/>
      <name val="Book Antiqua"/>
      <family val="1"/>
    </font>
    <font>
      <b/>
      <sz val="14"/>
      <color rgb="FFFF0000"/>
      <name val="Book Antiqua"/>
      <family val="1"/>
    </font>
    <font>
      <b/>
      <sz val="20"/>
      <color rgb="FFFF0000"/>
      <name val="Book Antiqua"/>
      <family val="1"/>
    </font>
    <font>
      <sz val="20"/>
      <color rgb="FFFF0000"/>
      <name val="Book Antiqua"/>
      <family val="1"/>
    </font>
    <font>
      <b/>
      <u/>
      <sz val="14"/>
      <color rgb="FFFF0000"/>
      <name val="Book Antiqua"/>
      <family val="1"/>
    </font>
    <font>
      <b/>
      <sz val="12"/>
      <color rgb="FFFF0000"/>
      <name val="Book Antiqua"/>
      <family val="1"/>
    </font>
    <font>
      <b/>
      <sz val="14"/>
      <color rgb="FFFF0000"/>
      <name val="Calibri"/>
      <family val="2"/>
    </font>
    <font>
      <i/>
      <sz val="14"/>
      <color rgb="FFFF0000"/>
      <name val="Arial"/>
      <family val="2"/>
    </font>
    <font>
      <i/>
      <sz val="14"/>
      <color rgb="FFFF0000"/>
      <name val="Book Antiqua"/>
      <family val="1"/>
    </font>
    <font>
      <vertAlign val="superscript"/>
      <sz val="14"/>
      <color rgb="FFFF0000"/>
      <name val="Book Antiqua"/>
      <family val="1"/>
    </font>
    <font>
      <sz val="14"/>
      <color rgb="FFFF0000"/>
      <name val="Arial"/>
      <family val="2"/>
    </font>
    <font>
      <b/>
      <sz val="36"/>
      <color rgb="FFFF0000"/>
      <name val="Book Antiqua"/>
      <family val="1"/>
    </font>
    <font>
      <vertAlign val="subscript"/>
      <sz val="20"/>
      <color rgb="FFFF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3" fillId="2" borderId="0"/>
    <xf numFmtId="0" fontId="13" fillId="2" borderId="0"/>
    <xf numFmtId="0" fontId="13" fillId="2" borderId="0"/>
    <xf numFmtId="0" fontId="13" fillId="2" borderId="0"/>
  </cellStyleXfs>
  <cellXfs count="277">
    <xf numFmtId="0" fontId="0" fillId="2" borderId="0" xfId="0" applyFill="1"/>
    <xf numFmtId="0" fontId="2" fillId="2" borderId="0" xfId="0" applyFont="1" applyFill="1"/>
    <xf numFmtId="0" fontId="4" fillId="2" borderId="1" xfId="0" applyFont="1" applyFill="1" applyBorder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10" fontId="9" fillId="2" borderId="0" xfId="0" applyNumberFormat="1" applyFont="1" applyFill="1" applyAlignment="1">
      <alignment horizontal="center"/>
    </xf>
    <xf numFmtId="0" fontId="1" fillId="2" borderId="0" xfId="4" applyFont="1" applyFill="1"/>
    <xf numFmtId="0" fontId="13" fillId="2" borderId="0" xfId="4" applyFill="1"/>
    <xf numFmtId="0" fontId="8" fillId="2" borderId="0" xfId="4" applyFont="1" applyFill="1" applyAlignment="1">
      <alignment wrapText="1"/>
    </xf>
    <xf numFmtId="0" fontId="3" fillId="2" borderId="0" xfId="4" applyFont="1" applyFill="1"/>
    <xf numFmtId="0" fontId="5" fillId="2" borderId="0" xfId="4" applyFont="1" applyFill="1"/>
    <xf numFmtId="167" fontId="5" fillId="2" borderId="0" xfId="4" applyNumberFormat="1" applyFont="1" applyFill="1" applyAlignment="1">
      <alignment horizontal="center"/>
    </xf>
    <xf numFmtId="0" fontId="4" fillId="2" borderId="0" xfId="4" applyFont="1" applyFill="1" applyAlignment="1">
      <alignment horizontal="right"/>
    </xf>
    <xf numFmtId="167" fontId="5" fillId="2" borderId="0" xfId="4" applyNumberFormat="1" applyFont="1" applyFill="1"/>
    <xf numFmtId="0" fontId="3" fillId="2" borderId="0" xfId="4" applyFont="1" applyFill="1" applyAlignment="1">
      <alignment horizontal="left"/>
    </xf>
    <xf numFmtId="0" fontId="7" fillId="2" borderId="0" xfId="4" applyFont="1" applyFill="1"/>
    <xf numFmtId="164" fontId="1" fillId="2" borderId="0" xfId="4" applyNumberFormat="1" applyFont="1" applyFill="1"/>
    <xf numFmtId="164" fontId="4" fillId="2" borderId="6" xfId="4" applyNumberFormat="1" applyFont="1" applyFill="1" applyBorder="1" applyAlignment="1">
      <alignment horizontal="center" wrapText="1"/>
    </xf>
    <xf numFmtId="0" fontId="4" fillId="2" borderId="6" xfId="4" applyFont="1" applyFill="1" applyBorder="1" applyAlignment="1">
      <alignment horizontal="center" wrapText="1"/>
    </xf>
    <xf numFmtId="0" fontId="2" fillId="2" borderId="0" xfId="4" applyFont="1" applyFill="1" applyAlignment="1">
      <alignment horizontal="center"/>
    </xf>
    <xf numFmtId="2" fontId="5" fillId="3" borderId="8" xfId="4" applyNumberFormat="1" applyFont="1" applyFill="1" applyBorder="1" applyProtection="1">
      <protection locked="0"/>
    </xf>
    <xf numFmtId="10" fontId="5" fillId="2" borderId="7" xfId="4" applyNumberFormat="1" applyFont="1" applyFill="1" applyBorder="1" applyAlignment="1">
      <alignment horizontal="center"/>
    </xf>
    <xf numFmtId="10" fontId="5" fillId="2" borderId="0" xfId="4" applyNumberFormat="1" applyFont="1" applyFill="1" applyAlignment="1">
      <alignment horizontal="center"/>
    </xf>
    <xf numFmtId="10" fontId="5" fillId="2" borderId="8" xfId="4" applyNumberFormat="1" applyFont="1" applyFill="1" applyBorder="1" applyAlignment="1">
      <alignment horizontal="center"/>
    </xf>
    <xf numFmtId="2" fontId="5" fillId="3" borderId="9" xfId="4" applyNumberFormat="1" applyFont="1" applyFill="1" applyBorder="1" applyProtection="1">
      <protection locked="0"/>
    </xf>
    <xf numFmtId="10" fontId="5" fillId="2" borderId="9" xfId="4" applyNumberFormat="1" applyFont="1" applyFill="1" applyBorder="1" applyAlignment="1">
      <alignment horizontal="center"/>
    </xf>
    <xf numFmtId="166" fontId="2" fillId="2" borderId="0" xfId="4" applyNumberFormat="1" applyFont="1" applyFill="1" applyAlignment="1">
      <alignment horizontal="center"/>
    </xf>
    <xf numFmtId="10" fontId="2" fillId="2" borderId="0" xfId="4" applyNumberFormat="1" applyFont="1" applyFill="1" applyAlignment="1">
      <alignment horizontal="center"/>
    </xf>
    <xf numFmtId="0" fontId="5" fillId="2" borderId="6" xfId="4" applyFont="1" applyFill="1" applyBorder="1" applyAlignment="1">
      <alignment horizontal="right" vertical="center"/>
    </xf>
    <xf numFmtId="166" fontId="5" fillId="2" borderId="6" xfId="4" applyNumberFormat="1" applyFont="1" applyFill="1" applyBorder="1" applyAlignment="1">
      <alignment horizontal="center" vertical="center"/>
    </xf>
    <xf numFmtId="166" fontId="5" fillId="2" borderId="0" xfId="4" applyNumberFormat="1" applyFont="1" applyFill="1" applyAlignment="1">
      <alignment horizontal="center"/>
    </xf>
    <xf numFmtId="164" fontId="4" fillId="2" borderId="6" xfId="4" applyNumberFormat="1" applyFont="1" applyFill="1" applyBorder="1" applyAlignment="1">
      <alignment horizontal="center" vertical="center"/>
    </xf>
    <xf numFmtId="2" fontId="6" fillId="2" borderId="0" xfId="4" applyNumberFormat="1" applyFont="1" applyFill="1" applyAlignment="1">
      <alignment horizontal="right"/>
    </xf>
    <xf numFmtId="2" fontId="4" fillId="2" borderId="0" xfId="4" applyNumberFormat="1" applyFont="1" applyFill="1"/>
    <xf numFmtId="2" fontId="6" fillId="2" borderId="0" xfId="4" applyNumberFormat="1" applyFont="1" applyFill="1"/>
    <xf numFmtId="0" fontId="4" fillId="2" borderId="6" xfId="4" applyFont="1" applyFill="1" applyBorder="1" applyAlignment="1">
      <alignment horizontal="center" vertical="center"/>
    </xf>
    <xf numFmtId="10" fontId="2" fillId="2" borderId="0" xfId="4" applyNumberFormat="1" applyFont="1" applyFill="1"/>
    <xf numFmtId="165" fontId="4" fillId="2" borderId="10" xfId="4" applyNumberFormat="1" applyFont="1" applyFill="1" applyBorder="1" applyAlignment="1">
      <alignment horizontal="center"/>
    </xf>
    <xf numFmtId="2" fontId="4" fillId="2" borderId="6" xfId="4" applyNumberFormat="1" applyFont="1" applyFill="1" applyBorder="1" applyAlignment="1">
      <alignment horizontal="center" vertical="center"/>
    </xf>
    <xf numFmtId="165" fontId="4" fillId="2" borderId="11" xfId="4" applyNumberFormat="1" applyFont="1" applyFill="1" applyBorder="1" applyAlignment="1">
      <alignment horizontal="center"/>
    </xf>
    <xf numFmtId="0" fontId="5" fillId="2" borderId="3" xfId="4" applyFont="1" applyFill="1" applyBorder="1"/>
    <xf numFmtId="0" fontId="5" fillId="2" borderId="0" xfId="4" applyFont="1" applyFill="1" applyAlignment="1">
      <alignment horizontal="center"/>
    </xf>
    <xf numFmtId="10" fontId="5" fillId="2" borderId="3" xfId="4" applyNumberFormat="1" applyFont="1" applyFill="1" applyBorder="1"/>
    <xf numFmtId="0" fontId="4" fillId="2" borderId="4" xfId="4" applyFont="1" applyFill="1" applyBorder="1"/>
    <xf numFmtId="0" fontId="4" fillId="2" borderId="4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2" xfId="4" applyFont="1" applyFill="1" applyBorder="1"/>
    <xf numFmtId="0" fontId="4" fillId="2" borderId="5" xfId="4" applyFont="1" applyFill="1" applyBorder="1"/>
    <xf numFmtId="0" fontId="4" fillId="2" borderId="0" xfId="4" applyFont="1" applyFill="1"/>
    <xf numFmtId="0" fontId="5" fillId="2" borderId="5" xfId="4" applyFont="1" applyFill="1" applyBorder="1"/>
    <xf numFmtId="0" fontId="4" fillId="2" borderId="0" xfId="4" applyFont="1" applyFill="1" applyAlignment="1">
      <alignment horizontal="right"/>
    </xf>
    <xf numFmtId="0" fontId="3" fillId="2" borderId="0" xfId="4" applyFont="1" applyFill="1" applyAlignment="1">
      <alignment horizontal="center"/>
    </xf>
    <xf numFmtId="164" fontId="1" fillId="2" borderId="0" xfId="4" applyNumberFormat="1" applyFont="1" applyFill="1" applyAlignment="1">
      <alignment horizontal="center"/>
    </xf>
    <xf numFmtId="166" fontId="4" fillId="2" borderId="7" xfId="4" applyNumberFormat="1" applyFont="1" applyFill="1" applyBorder="1" applyAlignment="1">
      <alignment horizontal="center" vertical="center"/>
    </xf>
    <xf numFmtId="166" fontId="4" fillId="2" borderId="9" xfId="4" applyNumberFormat="1" applyFont="1" applyFill="1" applyBorder="1" applyAlignment="1">
      <alignment horizontal="center" vertical="center"/>
    </xf>
    <xf numFmtId="0" fontId="8" fillId="2" borderId="12" xfId="4" applyFont="1" applyFill="1" applyBorder="1" applyAlignment="1">
      <alignment horizontal="center" wrapText="1"/>
    </xf>
    <xf numFmtId="0" fontId="8" fillId="2" borderId="13" xfId="4" applyFont="1" applyFill="1" applyBorder="1" applyAlignment="1">
      <alignment horizontal="center" wrapText="1"/>
    </xf>
    <xf numFmtId="0" fontId="8" fillId="2" borderId="14" xfId="4" applyFont="1" applyFill="1" applyBorder="1" applyAlignment="1">
      <alignment horizontal="center" wrapText="1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/>
    <xf numFmtId="0" fontId="17" fillId="2" borderId="0" xfId="0" applyFont="1" applyFill="1"/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20" fillId="2" borderId="0" xfId="0" applyFont="1" applyFill="1"/>
    <xf numFmtId="0" fontId="21" fillId="3" borderId="0" xfId="0" applyFont="1" applyFill="1" applyAlignment="1" applyProtection="1">
      <alignment horizontal="left" wrapText="1"/>
      <protection locked="0"/>
    </xf>
    <xf numFmtId="0" fontId="21" fillId="2" borderId="0" xfId="0" applyFont="1" applyFill="1" applyAlignment="1" applyProtection="1">
      <alignment horizontal="right"/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22" fillId="2" borderId="0" xfId="0" applyFont="1" applyFill="1"/>
    <xf numFmtId="0" fontId="22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 wrapText="1"/>
      <protection locked="0"/>
    </xf>
    <xf numFmtId="0" fontId="16" fillId="3" borderId="0" xfId="0" applyFont="1" applyFill="1" applyProtection="1">
      <protection locked="0"/>
    </xf>
    <xf numFmtId="168" fontId="22" fillId="3" borderId="0" xfId="0" applyNumberFormat="1" applyFont="1" applyFill="1" applyAlignment="1" applyProtection="1">
      <alignment horizontal="center"/>
      <protection locked="0"/>
    </xf>
    <xf numFmtId="169" fontId="16" fillId="2" borderId="0" xfId="0" applyNumberFormat="1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0" fillId="2" borderId="0" xfId="0" applyFont="1" applyFill="1" applyAlignment="1">
      <alignment horizontal="right"/>
    </xf>
    <xf numFmtId="0" fontId="16" fillId="2" borderId="0" xfId="0" applyFont="1" applyFill="1" applyAlignment="1">
      <alignment horizontal="right"/>
    </xf>
    <xf numFmtId="0" fontId="22" fillId="3" borderId="0" xfId="0" applyFont="1" applyFill="1" applyAlignment="1" applyProtection="1">
      <alignment horizontal="left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2" fillId="3" borderId="0" xfId="0" applyFont="1" applyFill="1" applyAlignment="1" applyProtection="1">
      <alignment horizontal="center"/>
      <protection locked="0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24" fillId="2" borderId="1" xfId="0" applyFont="1" applyFill="1" applyBorder="1" applyAlignment="1">
      <alignment horizontal="center"/>
    </xf>
    <xf numFmtId="0" fontId="25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center"/>
    </xf>
    <xf numFmtId="0" fontId="26" fillId="2" borderId="0" xfId="0" applyFont="1" applyFill="1"/>
    <xf numFmtId="0" fontId="27" fillId="2" borderId="0" xfId="0" applyFont="1" applyFill="1"/>
    <xf numFmtId="2" fontId="21" fillId="3" borderId="0" xfId="0" applyNumberFormat="1" applyFont="1" applyFill="1" applyAlignment="1" applyProtection="1">
      <alignment horizontal="center"/>
      <protection locked="0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2" fontId="2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20" fillId="2" borderId="0" xfId="0" applyNumberFormat="1" applyFont="1" applyFill="1" applyAlignment="1">
      <alignment horizontal="center"/>
    </xf>
    <xf numFmtId="0" fontId="16" fillId="2" borderId="15" xfId="0" applyFont="1" applyFill="1" applyBorder="1" applyAlignment="1">
      <alignment horizontal="right"/>
    </xf>
    <xf numFmtId="0" fontId="21" fillId="3" borderId="16" xfId="0" applyFont="1" applyFill="1" applyBorder="1" applyAlignment="1" applyProtection="1">
      <alignment horizontal="center"/>
      <protection locked="0"/>
    </xf>
    <xf numFmtId="0" fontId="20" fillId="2" borderId="41" xfId="0" applyFont="1" applyFill="1" applyBorder="1" applyAlignment="1">
      <alignment horizontal="center"/>
    </xf>
    <xf numFmtId="0" fontId="20" fillId="2" borderId="34" xfId="0" applyFont="1" applyFill="1" applyBorder="1" applyAlignment="1">
      <alignment horizontal="center"/>
    </xf>
    <xf numFmtId="0" fontId="20" fillId="2" borderId="49" xfId="0" applyFont="1" applyFill="1" applyBorder="1" applyAlignment="1">
      <alignment horizontal="center"/>
    </xf>
    <xf numFmtId="0" fontId="16" fillId="2" borderId="17" xfId="0" applyFont="1" applyFill="1" applyBorder="1" applyAlignment="1">
      <alignment horizontal="right"/>
    </xf>
    <xf numFmtId="0" fontId="21" fillId="3" borderId="18" xfId="0" applyFont="1" applyFill="1" applyBorder="1" applyAlignment="1" applyProtection="1">
      <alignment horizontal="center"/>
      <protection locked="0"/>
    </xf>
    <xf numFmtId="0" fontId="20" fillId="2" borderId="16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21" fillId="3" borderId="23" xfId="0" applyFont="1" applyFill="1" applyBorder="1" applyAlignment="1" applyProtection="1">
      <alignment horizontal="center"/>
      <protection locked="0"/>
    </xf>
    <xf numFmtId="171" fontId="16" fillId="2" borderId="20" xfId="0" applyNumberFormat="1" applyFont="1" applyFill="1" applyBorder="1" applyAlignment="1">
      <alignment horizontal="center"/>
    </xf>
    <xf numFmtId="171" fontId="16" fillId="2" borderId="24" xfId="0" applyNumberFormat="1" applyFont="1" applyFill="1" applyBorder="1" applyAlignment="1">
      <alignment horizontal="center"/>
    </xf>
    <xf numFmtId="0" fontId="29" fillId="2" borderId="7" xfId="0" applyFont="1" applyFill="1" applyBorder="1"/>
    <xf numFmtId="0" fontId="16" fillId="2" borderId="18" xfId="0" applyFont="1" applyFill="1" applyBorder="1" applyAlignment="1">
      <alignment horizontal="center"/>
    </xf>
    <xf numFmtId="0" fontId="21" fillId="3" borderId="17" xfId="0" applyFont="1" applyFill="1" applyBorder="1" applyAlignment="1" applyProtection="1">
      <alignment horizontal="center"/>
      <protection locked="0"/>
    </xf>
    <xf numFmtId="171" fontId="16" fillId="2" borderId="25" xfId="0" applyNumberFormat="1" applyFont="1" applyFill="1" applyBorder="1" applyAlignment="1">
      <alignment horizontal="center"/>
    </xf>
    <xf numFmtId="171" fontId="16" fillId="2" borderId="26" xfId="0" applyNumberFormat="1" applyFont="1" applyFill="1" applyBorder="1" applyAlignment="1">
      <alignment horizontal="center"/>
    </xf>
    <xf numFmtId="10" fontId="25" fillId="2" borderId="8" xfId="0" applyNumberFormat="1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/>
    </xf>
    <xf numFmtId="0" fontId="21" fillId="3" borderId="28" xfId="0" applyFont="1" applyFill="1" applyBorder="1" applyAlignment="1" applyProtection="1">
      <alignment horizontal="center"/>
      <protection locked="0"/>
    </xf>
    <xf numFmtId="171" fontId="16" fillId="2" borderId="29" xfId="0" applyNumberFormat="1" applyFont="1" applyFill="1" applyBorder="1" applyAlignment="1">
      <alignment horizontal="center"/>
    </xf>
    <xf numFmtId="171" fontId="16" fillId="2" borderId="30" xfId="0" applyNumberFormat="1" applyFont="1" applyFill="1" applyBorder="1" applyAlignment="1">
      <alignment horizontal="center"/>
    </xf>
    <xf numFmtId="0" fontId="16" fillId="2" borderId="9" xfId="0" applyFont="1" applyFill="1" applyBorder="1"/>
    <xf numFmtId="0" fontId="16" fillId="2" borderId="18" xfId="0" applyFont="1" applyFill="1" applyBorder="1" applyAlignment="1">
      <alignment horizontal="right"/>
    </xf>
    <xf numFmtId="1" fontId="20" fillId="4" borderId="31" xfId="0" applyNumberFormat="1" applyFont="1" applyFill="1" applyBorder="1" applyAlignment="1">
      <alignment horizontal="center"/>
    </xf>
    <xf numFmtId="171" fontId="20" fillId="4" borderId="32" xfId="0" applyNumberFormat="1" applyFont="1" applyFill="1" applyBorder="1" applyAlignment="1">
      <alignment horizontal="center"/>
    </xf>
    <xf numFmtId="171" fontId="20" fillId="4" borderId="33" xfId="0" applyNumberFormat="1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34" xfId="0" applyFont="1" applyFill="1" applyBorder="1" applyAlignment="1">
      <alignment horizontal="right"/>
    </xf>
    <xf numFmtId="0" fontId="21" fillId="3" borderId="10" xfId="0" applyFont="1" applyFill="1" applyBorder="1" applyAlignment="1" applyProtection="1">
      <alignment horizontal="center"/>
      <protection locked="0"/>
    </xf>
    <xf numFmtId="0" fontId="16" fillId="2" borderId="5" xfId="0" applyFont="1" applyFill="1" applyBorder="1" applyAlignment="1">
      <alignment horizontal="right"/>
    </xf>
    <xf numFmtId="2" fontId="16" fillId="4" borderId="35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2" fontId="16" fillId="5" borderId="35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166" fontId="16" fillId="4" borderId="35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166" fontId="16" fillId="4" borderId="11" xfId="0" applyNumberFormat="1" applyFont="1" applyFill="1" applyBorder="1" applyAlignment="1">
      <alignment horizontal="center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6" fillId="2" borderId="36" xfId="0" applyFont="1" applyFill="1" applyBorder="1" applyAlignment="1">
      <alignment horizontal="right"/>
    </xf>
    <xf numFmtId="166" fontId="21" fillId="3" borderId="35" xfId="0" applyNumberFormat="1" applyFont="1" applyFill="1" applyBorder="1" applyAlignment="1" applyProtection="1">
      <alignment horizontal="center"/>
      <protection locked="0"/>
    </xf>
    <xf numFmtId="166" fontId="16" fillId="2" borderId="0" xfId="0" applyNumberFormat="1" applyFont="1" applyFill="1"/>
    <xf numFmtId="0" fontId="16" fillId="2" borderId="23" xfId="0" applyFont="1" applyFill="1" applyBorder="1" applyAlignment="1">
      <alignment horizontal="right"/>
    </xf>
    <xf numFmtId="1" fontId="16" fillId="2" borderId="0" xfId="0" applyNumberFormat="1" applyFont="1" applyFill="1" applyAlignment="1">
      <alignment horizontal="center"/>
    </xf>
    <xf numFmtId="0" fontId="16" fillId="2" borderId="9" xfId="0" applyFont="1" applyFill="1" applyBorder="1" applyAlignment="1">
      <alignment horizontal="right"/>
    </xf>
    <xf numFmtId="2" fontId="16" fillId="4" borderId="9" xfId="0" applyNumberFormat="1" applyFont="1" applyFill="1" applyBorder="1" applyAlignment="1">
      <alignment horizontal="center"/>
    </xf>
    <xf numFmtId="171" fontId="20" fillId="5" borderId="7" xfId="0" applyNumberFormat="1" applyFont="1" applyFill="1" applyBorder="1" applyAlignment="1">
      <alignment horizontal="center"/>
    </xf>
    <xf numFmtId="171" fontId="16" fillId="2" borderId="0" xfId="0" applyNumberFormat="1" applyFont="1" applyFill="1" applyAlignment="1">
      <alignment horizontal="center"/>
    </xf>
    <xf numFmtId="10" fontId="16" fillId="4" borderId="35" xfId="0" applyNumberFormat="1" applyFont="1" applyFill="1" applyBorder="1" applyAlignment="1">
      <alignment horizontal="center"/>
    </xf>
    <xf numFmtId="0" fontId="16" fillId="2" borderId="37" xfId="0" applyFont="1" applyFill="1" applyBorder="1" applyAlignment="1">
      <alignment horizontal="right"/>
    </xf>
    <xf numFmtId="0" fontId="16" fillId="5" borderId="9" xfId="0" applyFont="1" applyFill="1" applyBorder="1" applyAlignment="1">
      <alignment horizontal="center"/>
    </xf>
    <xf numFmtId="0" fontId="23" fillId="2" borderId="0" xfId="0" applyFont="1" applyFill="1"/>
    <xf numFmtId="0" fontId="20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172" fontId="21" fillId="3" borderId="0" xfId="0" applyNumberFormat="1" applyFont="1" applyFill="1" applyAlignment="1" applyProtection="1">
      <alignment horizontal="center"/>
      <protection locked="0"/>
    </xf>
    <xf numFmtId="166" fontId="20" fillId="2" borderId="0" xfId="0" applyNumberFormat="1" applyFont="1" applyFill="1" applyAlignment="1" applyProtection="1">
      <alignment horizontal="center"/>
      <protection locked="0"/>
    </xf>
    <xf numFmtId="2" fontId="20" fillId="2" borderId="7" xfId="0" applyNumberFormat="1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 vertical="center"/>
    </xf>
    <xf numFmtId="2" fontId="21" fillId="3" borderId="7" xfId="0" applyNumberFormat="1" applyFont="1" applyFill="1" applyBorder="1" applyAlignment="1" applyProtection="1">
      <alignment horizontal="center" vertical="center"/>
      <protection locked="0"/>
    </xf>
    <xf numFmtId="0" fontId="16" fillId="2" borderId="7" xfId="0" applyFont="1" applyFill="1" applyBorder="1" applyAlignment="1">
      <alignment horizontal="center"/>
    </xf>
    <xf numFmtId="0" fontId="21" fillId="3" borderId="15" xfId="0" applyFont="1" applyFill="1" applyBorder="1" applyAlignment="1" applyProtection="1">
      <alignment horizontal="center"/>
      <protection locked="0"/>
    </xf>
    <xf numFmtId="166" fontId="16" fillId="2" borderId="15" xfId="0" applyNumberFormat="1" applyFont="1" applyFill="1" applyBorder="1" applyAlignment="1">
      <alignment horizontal="center"/>
    </xf>
    <xf numFmtId="173" fontId="16" fillId="2" borderId="7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2" fontId="21" fillId="3" borderId="8" xfId="0" applyNumberFormat="1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>
      <alignment horizontal="center"/>
    </xf>
    <xf numFmtId="166" fontId="16" fillId="2" borderId="17" xfId="0" applyNumberFormat="1" applyFont="1" applyFill="1" applyBorder="1" applyAlignment="1">
      <alignment horizontal="center"/>
    </xf>
    <xf numFmtId="173" fontId="16" fillId="2" borderId="8" xfId="0" applyNumberFormat="1" applyFont="1" applyFill="1" applyBorder="1" applyAlignment="1">
      <alignment horizontal="center" vertical="center"/>
    </xf>
    <xf numFmtId="1" fontId="21" fillId="3" borderId="17" xfId="0" applyNumberFormat="1" applyFont="1" applyFill="1" applyBorder="1" applyAlignment="1" applyProtection="1">
      <alignment horizontal="center"/>
      <protection locked="0"/>
    </xf>
    <xf numFmtId="0" fontId="20" fillId="2" borderId="3" xfId="0" applyFont="1" applyFill="1" applyBorder="1" applyAlignment="1">
      <alignment horizontal="center" vertical="center"/>
    </xf>
    <xf numFmtId="2" fontId="21" fillId="3" borderId="9" xfId="0" applyNumberFormat="1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>
      <alignment horizontal="center"/>
    </xf>
    <xf numFmtId="0" fontId="21" fillId="3" borderId="37" xfId="0" applyFont="1" applyFill="1" applyBorder="1" applyAlignment="1" applyProtection="1">
      <alignment horizontal="center"/>
      <protection locked="0"/>
    </xf>
    <xf numFmtId="166" fontId="16" fillId="2" borderId="37" xfId="0" applyNumberFormat="1" applyFont="1" applyFill="1" applyBorder="1" applyAlignment="1">
      <alignment horizontal="center"/>
    </xf>
    <xf numFmtId="173" fontId="16" fillId="2" borderId="9" xfId="0" applyNumberFormat="1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/>
    </xf>
    <xf numFmtId="0" fontId="16" fillId="2" borderId="39" xfId="0" applyFont="1" applyFill="1" applyBorder="1" applyAlignment="1">
      <alignment horizontal="right"/>
    </xf>
    <xf numFmtId="2" fontId="21" fillId="5" borderId="27" xfId="0" applyNumberFormat="1" applyFont="1" applyFill="1" applyBorder="1" applyAlignment="1">
      <alignment horizontal="center"/>
    </xf>
    <xf numFmtId="173" fontId="21" fillId="5" borderId="27" xfId="0" applyNumberFormat="1" applyFont="1" applyFill="1" applyBorder="1" applyAlignment="1">
      <alignment horizontal="center"/>
    </xf>
    <xf numFmtId="0" fontId="16" fillId="2" borderId="35" xfId="0" applyFont="1" applyFill="1" applyBorder="1" applyAlignment="1">
      <alignment horizontal="right"/>
    </xf>
    <xf numFmtId="10" fontId="21" fillId="4" borderId="48" xfId="0" applyNumberFormat="1" applyFont="1" applyFill="1" applyBorder="1" applyAlignment="1">
      <alignment horizontal="center"/>
    </xf>
    <xf numFmtId="0" fontId="16" fillId="2" borderId="11" xfId="0" applyFont="1" applyFill="1" applyBorder="1" applyAlignment="1">
      <alignment horizontal="right"/>
    </xf>
    <xf numFmtId="0" fontId="21" fillId="5" borderId="40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21" fillId="3" borderId="0" xfId="0" applyFont="1" applyFill="1" applyAlignment="1" applyProtection="1">
      <alignment horizontal="left"/>
      <protection locked="0"/>
    </xf>
    <xf numFmtId="0" fontId="20" fillId="2" borderId="41" xfId="0" applyFont="1" applyFill="1" applyBorder="1" applyAlignment="1">
      <alignment horizontal="center"/>
    </xf>
    <xf numFmtId="0" fontId="20" fillId="2" borderId="34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0" fillId="2" borderId="24" xfId="0" applyFont="1" applyFill="1" applyBorder="1" applyAlignment="1">
      <alignment horizontal="center"/>
    </xf>
    <xf numFmtId="0" fontId="16" fillId="2" borderId="4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1" fontId="20" fillId="4" borderId="43" xfId="0" applyNumberFormat="1" applyFont="1" applyFill="1" applyBorder="1" applyAlignment="1">
      <alignment horizontal="center"/>
    </xf>
    <xf numFmtId="1" fontId="20" fillId="4" borderId="44" xfId="0" applyNumberFormat="1" applyFont="1" applyFill="1" applyBorder="1" applyAlignment="1">
      <alignment horizontal="center"/>
    </xf>
    <xf numFmtId="171" fontId="20" fillId="4" borderId="9" xfId="0" applyNumberFormat="1" applyFont="1" applyFill="1" applyBorder="1" applyAlignment="1">
      <alignment horizontal="center"/>
    </xf>
    <xf numFmtId="0" fontId="16" fillId="2" borderId="45" xfId="0" applyFont="1" applyFill="1" applyBorder="1" applyAlignment="1">
      <alignment horizontal="right"/>
    </xf>
    <xf numFmtId="0" fontId="21" fillId="3" borderId="46" xfId="0" applyFont="1" applyFill="1" applyBorder="1" applyAlignment="1" applyProtection="1">
      <alignment horizontal="center"/>
      <protection locked="0"/>
    </xf>
    <xf numFmtId="0" fontId="16" fillId="2" borderId="19" xfId="0" applyFont="1" applyFill="1" applyBorder="1" applyAlignment="1">
      <alignment horizontal="right"/>
    </xf>
    <xf numFmtId="2" fontId="16" fillId="4" borderId="21" xfId="0" applyNumberFormat="1" applyFont="1" applyFill="1" applyBorder="1" applyAlignment="1">
      <alignment horizontal="center"/>
    </xf>
    <xf numFmtId="2" fontId="16" fillId="5" borderId="21" xfId="0" applyNumberFormat="1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166" fontId="16" fillId="4" borderId="21" xfId="0" applyNumberFormat="1" applyFont="1" applyFill="1" applyBorder="1" applyAlignment="1">
      <alignment horizontal="center"/>
    </xf>
    <xf numFmtId="0" fontId="18" fillId="2" borderId="3" xfId="0" applyFont="1" applyFill="1" applyBorder="1" applyAlignment="1">
      <alignment horizontal="left" vertical="center" wrapText="1"/>
    </xf>
    <xf numFmtId="166" fontId="16" fillId="5" borderId="21" xfId="0" applyNumberFormat="1" applyFont="1" applyFill="1" applyBorder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6" fillId="2" borderId="47" xfId="0" applyFont="1" applyFill="1" applyBorder="1" applyAlignment="1">
      <alignment horizontal="right"/>
    </xf>
    <xf numFmtId="2" fontId="16" fillId="5" borderId="24" xfId="0" applyNumberFormat="1" applyFont="1" applyFill="1" applyBorder="1" applyAlignment="1">
      <alignment horizontal="center"/>
    </xf>
    <xf numFmtId="0" fontId="16" fillId="2" borderId="10" xfId="0" applyFont="1" applyFill="1" applyBorder="1" applyAlignment="1">
      <alignment horizontal="right"/>
    </xf>
    <xf numFmtId="171" fontId="20" fillId="5" borderId="10" xfId="0" applyNumberFormat="1" applyFont="1" applyFill="1" applyBorder="1" applyAlignment="1">
      <alignment horizontal="center"/>
    </xf>
    <xf numFmtId="10" fontId="20" fillId="4" borderId="35" xfId="0" applyNumberFormat="1" applyFont="1" applyFill="1" applyBorder="1" applyAlignment="1">
      <alignment horizontal="center"/>
    </xf>
    <xf numFmtId="0" fontId="20" fillId="5" borderId="11" xfId="0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 wrapText="1"/>
    </xf>
    <xf numFmtId="1" fontId="21" fillId="3" borderId="7" xfId="0" applyNumberFormat="1" applyFont="1" applyFill="1" applyBorder="1" applyAlignment="1" applyProtection="1">
      <alignment horizontal="center"/>
      <protection locked="0"/>
    </xf>
    <xf numFmtId="166" fontId="16" fillId="2" borderId="7" xfId="0" applyNumberFormat="1" applyFont="1" applyFill="1" applyBorder="1" applyAlignment="1">
      <alignment horizontal="center"/>
    </xf>
    <xf numFmtId="173" fontId="16" fillId="2" borderId="16" xfId="0" applyNumberFormat="1" applyFont="1" applyFill="1" applyBorder="1" applyAlignment="1">
      <alignment horizontal="center"/>
    </xf>
    <xf numFmtId="1" fontId="21" fillId="3" borderId="8" xfId="0" applyNumberFormat="1" applyFont="1" applyFill="1" applyBorder="1" applyAlignment="1" applyProtection="1">
      <alignment horizontal="center"/>
      <protection locked="0"/>
    </xf>
    <xf numFmtId="166" fontId="16" fillId="2" borderId="8" xfId="0" applyNumberFormat="1" applyFont="1" applyFill="1" applyBorder="1" applyAlignment="1">
      <alignment horizontal="center"/>
    </xf>
    <xf numFmtId="173" fontId="16" fillId="2" borderId="18" xfId="0" applyNumberFormat="1" applyFont="1" applyFill="1" applyBorder="1" applyAlignment="1">
      <alignment horizontal="center"/>
    </xf>
    <xf numFmtId="1" fontId="21" fillId="3" borderId="9" xfId="0" applyNumberFormat="1" applyFont="1" applyFill="1" applyBorder="1" applyAlignment="1" applyProtection="1">
      <alignment horizontal="center"/>
      <protection locked="0"/>
    </xf>
    <xf numFmtId="166" fontId="16" fillId="2" borderId="9" xfId="0" applyNumberFormat="1" applyFont="1" applyFill="1" applyBorder="1" applyAlignment="1">
      <alignment horizontal="center"/>
    </xf>
    <xf numFmtId="173" fontId="16" fillId="2" borderId="38" xfId="0" applyNumberFormat="1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/>
    </xf>
    <xf numFmtId="171" fontId="16" fillId="2" borderId="10" xfId="0" applyNumberFormat="1" applyFont="1" applyFill="1" applyBorder="1" applyAlignment="1">
      <alignment horizontal="right"/>
    </xf>
    <xf numFmtId="2" fontId="21" fillId="5" borderId="49" xfId="0" applyNumberFormat="1" applyFont="1" applyFill="1" applyBorder="1" applyAlignment="1">
      <alignment horizontal="center"/>
    </xf>
    <xf numFmtId="174" fontId="21" fillId="5" borderId="46" xfId="0" applyNumberFormat="1" applyFont="1" applyFill="1" applyBorder="1" applyAlignment="1">
      <alignment horizontal="center"/>
    </xf>
    <xf numFmtId="0" fontId="16" fillId="2" borderId="17" xfId="0" applyFont="1" applyFill="1" applyBorder="1"/>
    <xf numFmtId="0" fontId="16" fillId="2" borderId="8" xfId="0" applyFont="1" applyFill="1" applyBorder="1" applyAlignment="1">
      <alignment horizontal="right"/>
    </xf>
    <xf numFmtId="10" fontId="21" fillId="4" borderId="21" xfId="0" applyNumberFormat="1" applyFont="1" applyFill="1" applyBorder="1" applyAlignment="1">
      <alignment horizontal="center"/>
    </xf>
    <xf numFmtId="0" fontId="16" fillId="2" borderId="37" xfId="0" applyFont="1" applyFill="1" applyBorder="1"/>
    <xf numFmtId="0" fontId="21" fillId="5" borderId="22" xfId="0" applyFont="1" applyFill="1" applyBorder="1" applyAlignment="1">
      <alignment horizontal="center"/>
    </xf>
    <xf numFmtId="0" fontId="21" fillId="5" borderId="50" xfId="0" applyFont="1" applyFill="1" applyBorder="1" applyAlignment="1">
      <alignment horizontal="center"/>
    </xf>
    <xf numFmtId="0" fontId="16" fillId="2" borderId="7" xfId="0" applyFont="1" applyFill="1" applyBorder="1"/>
    <xf numFmtId="0" fontId="20" fillId="2" borderId="41" xfId="0" applyFont="1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 vertical="center" wrapText="1"/>
    </xf>
    <xf numFmtId="2" fontId="21" fillId="4" borderId="48" xfId="0" applyNumberFormat="1" applyFont="1" applyFill="1" applyBorder="1" applyAlignment="1">
      <alignment horizontal="center"/>
    </xf>
    <xf numFmtId="174" fontId="21" fillId="4" borderId="48" xfId="0" applyNumberFormat="1" applyFont="1" applyFill="1" applyBorder="1" applyAlignment="1">
      <alignment horizontal="center"/>
    </xf>
    <xf numFmtId="2" fontId="21" fillId="5" borderId="40" xfId="0" applyNumberFormat="1" applyFont="1" applyFill="1" applyBorder="1" applyAlignment="1">
      <alignment horizontal="center"/>
    </xf>
    <xf numFmtId="174" fontId="21" fillId="5" borderId="40" xfId="0" applyNumberFormat="1" applyFont="1" applyFill="1" applyBorder="1" applyAlignment="1">
      <alignment horizontal="center"/>
    </xf>
    <xf numFmtId="175" fontId="30" fillId="2" borderId="0" xfId="0" applyNumberFormat="1" applyFont="1" applyFill="1" applyAlignment="1">
      <alignment horizontal="center"/>
    </xf>
    <xf numFmtId="0" fontId="18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/>
    <xf numFmtId="0" fontId="20" fillId="2" borderId="4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2" xfId="0" applyFont="1" applyFill="1" applyBorder="1"/>
    <xf numFmtId="0" fontId="20" fillId="2" borderId="5" xfId="0" applyFont="1" applyFill="1" applyBorder="1"/>
    <xf numFmtId="0" fontId="16" fillId="2" borderId="5" xfId="0" applyFont="1" applyFill="1" applyBorder="1"/>
    <xf numFmtId="174" fontId="21" fillId="2" borderId="0" xfId="0" applyNumberFormat="1" applyFont="1" applyFill="1" applyAlignment="1">
      <alignment horizontal="center"/>
    </xf>
    <xf numFmtId="174" fontId="30" fillId="2" borderId="0" xfId="0" applyNumberFormat="1" applyFont="1" applyFill="1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23" customWidth="1"/>
    <col min="2" max="2" width="18.42578125" style="23" customWidth="1"/>
    <col min="3" max="3" width="14.28515625" style="23" customWidth="1"/>
    <col min="4" max="4" width="15" style="23" customWidth="1"/>
    <col min="5" max="5" width="9.140625" style="23" customWidth="1"/>
    <col min="6" max="6" width="27.85546875" style="23" customWidth="1"/>
    <col min="7" max="7" width="12.28515625" style="23" customWidth="1"/>
    <col min="8" max="8" width="9.140625" style="23" customWidth="1"/>
    <col min="9" max="16384" width="9.140625" style="24"/>
  </cols>
  <sheetData>
    <row r="10" spans="1:7" ht="13.5" customHeight="1" thickBot="1" x14ac:dyDescent="0.35"/>
    <row r="11" spans="1:7" ht="13.5" customHeight="1" thickBot="1" x14ac:dyDescent="0.35">
      <c r="A11" s="72" t="s">
        <v>12</v>
      </c>
      <c r="B11" s="73"/>
      <c r="C11" s="73"/>
      <c r="D11" s="73"/>
      <c r="E11" s="73"/>
      <c r="F11" s="74"/>
      <c r="G11" s="25"/>
    </row>
    <row r="12" spans="1:7" ht="16.5" customHeight="1" x14ac:dyDescent="0.3">
      <c r="A12" s="68" t="s">
        <v>13</v>
      </c>
      <c r="B12" s="68"/>
      <c r="C12" s="68"/>
      <c r="D12" s="68"/>
      <c r="E12" s="68"/>
      <c r="F12" s="68"/>
      <c r="G12" s="26"/>
    </row>
    <row r="14" spans="1:7" ht="16.5" customHeight="1" x14ac:dyDescent="0.3">
      <c r="A14" s="67" t="s">
        <v>14</v>
      </c>
      <c r="B14" s="67"/>
      <c r="C14" s="27" t="s">
        <v>2</v>
      </c>
    </row>
    <row r="15" spans="1:7" ht="16.5" customHeight="1" x14ac:dyDescent="0.3">
      <c r="A15" s="67" t="s">
        <v>15</v>
      </c>
      <c r="B15" s="67"/>
      <c r="C15" s="27" t="s">
        <v>100</v>
      </c>
    </row>
    <row r="16" spans="1:7" ht="16.5" customHeight="1" x14ac:dyDescent="0.3">
      <c r="A16" s="67" t="s">
        <v>16</v>
      </c>
      <c r="B16" s="67"/>
      <c r="C16" s="27" t="s">
        <v>4</v>
      </c>
    </row>
    <row r="17" spans="1:5" ht="16.5" customHeight="1" x14ac:dyDescent="0.3">
      <c r="A17" s="67" t="s">
        <v>17</v>
      </c>
      <c r="B17" s="67"/>
      <c r="C17" s="27" t="s">
        <v>5</v>
      </c>
    </row>
    <row r="18" spans="1:5" ht="16.5" customHeight="1" x14ac:dyDescent="0.3">
      <c r="A18" s="67" t="s">
        <v>18</v>
      </c>
      <c r="B18" s="67"/>
      <c r="C18" s="28" t="s">
        <v>101</v>
      </c>
    </row>
    <row r="19" spans="1:5" ht="16.5" customHeight="1" x14ac:dyDescent="0.3">
      <c r="A19" s="67" t="s">
        <v>19</v>
      </c>
      <c r="B19" s="67"/>
      <c r="C19" s="28" t="e">
        <f>#REF!</f>
        <v>#REF!</v>
      </c>
    </row>
    <row r="20" spans="1:5" ht="16.5" customHeight="1" x14ac:dyDescent="0.3">
      <c r="A20" s="29"/>
      <c r="B20" s="29"/>
      <c r="C20" s="30"/>
    </row>
    <row r="21" spans="1:5" ht="16.5" customHeight="1" x14ac:dyDescent="0.3">
      <c r="A21" s="68" t="s">
        <v>0</v>
      </c>
      <c r="B21" s="68"/>
      <c r="C21" s="31" t="s">
        <v>20</v>
      </c>
      <c r="D21" s="32"/>
    </row>
    <row r="22" spans="1:5" ht="15.75" customHeight="1" thickBot="1" x14ac:dyDescent="0.35">
      <c r="A22" s="69"/>
      <c r="B22" s="69"/>
      <c r="C22" s="33"/>
      <c r="D22" s="69"/>
      <c r="E22" s="69"/>
    </row>
    <row r="23" spans="1:5" ht="33.75" customHeight="1" thickBot="1" x14ac:dyDescent="0.35">
      <c r="C23" s="34" t="s">
        <v>21</v>
      </c>
      <c r="D23" s="35" t="s">
        <v>22</v>
      </c>
      <c r="E23" s="36"/>
    </row>
    <row r="24" spans="1:5" ht="15.75" customHeight="1" x14ac:dyDescent="0.3">
      <c r="C24" s="37">
        <v>1083.6500000000001</v>
      </c>
      <c r="D24" s="38">
        <f t="shared" ref="D24:D43" si="0">(C24-$C$46)/$C$46</f>
        <v>1.271397076895688E-3</v>
      </c>
      <c r="E24" s="39"/>
    </row>
    <row r="25" spans="1:5" ht="15.75" customHeight="1" x14ac:dyDescent="0.3">
      <c r="C25" s="37">
        <v>1082.79</v>
      </c>
      <c r="D25" s="40">
        <f t="shared" si="0"/>
        <v>4.7677390383588303E-4</v>
      </c>
      <c r="E25" s="39"/>
    </row>
    <row r="26" spans="1:5" ht="15.75" customHeight="1" x14ac:dyDescent="0.3">
      <c r="C26" s="37">
        <v>1088.79</v>
      </c>
      <c r="D26" s="40">
        <f t="shared" si="0"/>
        <v>6.0206565065778882E-3</v>
      </c>
      <c r="E26" s="39"/>
    </row>
    <row r="27" spans="1:5" ht="15.75" customHeight="1" x14ac:dyDescent="0.3">
      <c r="C27" s="37">
        <v>1072.3</v>
      </c>
      <c r="D27" s="40">
        <f t="shared" si="0"/>
        <v>-9.2157808466247302E-3</v>
      </c>
      <c r="E27" s="39"/>
    </row>
    <row r="28" spans="1:5" ht="15.75" customHeight="1" x14ac:dyDescent="0.3">
      <c r="C28" s="37">
        <v>1072.8499999999999</v>
      </c>
      <c r="D28" s="40">
        <f t="shared" si="0"/>
        <v>-8.7075916080400894E-3</v>
      </c>
      <c r="E28" s="39"/>
    </row>
    <row r="29" spans="1:5" ht="15.75" customHeight="1" x14ac:dyDescent="0.3">
      <c r="C29" s="37">
        <v>1081.5899999999999</v>
      </c>
      <c r="D29" s="40">
        <f t="shared" si="0"/>
        <v>-6.3200261671256003E-4</v>
      </c>
      <c r="E29" s="39"/>
    </row>
    <row r="30" spans="1:5" ht="15.75" customHeight="1" x14ac:dyDescent="0.3">
      <c r="C30" s="37">
        <v>1077.95</v>
      </c>
      <c r="D30" s="40">
        <f t="shared" si="0"/>
        <v>-3.9952913957092585E-3</v>
      </c>
      <c r="E30" s="39"/>
    </row>
    <row r="31" spans="1:5" ht="15.75" customHeight="1" x14ac:dyDescent="0.3">
      <c r="C31" s="37">
        <v>1099.1600000000001</v>
      </c>
      <c r="D31" s="40">
        <f t="shared" si="0"/>
        <v>1.5602333604983762E-2</v>
      </c>
      <c r="E31" s="39"/>
    </row>
    <row r="32" spans="1:5" ht="15.75" customHeight="1" x14ac:dyDescent="0.3">
      <c r="C32" s="37">
        <v>1085.31</v>
      </c>
      <c r="D32" s="40">
        <f t="shared" si="0"/>
        <v>2.8052045969875084E-3</v>
      </c>
      <c r="E32" s="39"/>
    </row>
    <row r="33" spans="1:7" ht="15.75" customHeight="1" x14ac:dyDescent="0.3">
      <c r="C33" s="37">
        <v>1073.52</v>
      </c>
      <c r="D33" s="40">
        <f t="shared" si="0"/>
        <v>-8.0885247174004981E-3</v>
      </c>
      <c r="E33" s="39"/>
    </row>
    <row r="34" spans="1:7" ht="15.75" customHeight="1" x14ac:dyDescent="0.3">
      <c r="C34" s="37">
        <v>1090.73</v>
      </c>
      <c r="D34" s="40">
        <f t="shared" si="0"/>
        <v>7.8131785481311868E-3</v>
      </c>
      <c r="E34" s="39"/>
    </row>
    <row r="35" spans="1:7" ht="15.75" customHeight="1" x14ac:dyDescent="0.3">
      <c r="C35" s="37">
        <v>1077.83</v>
      </c>
      <c r="D35" s="40">
        <f t="shared" si="0"/>
        <v>-4.1061690477642082E-3</v>
      </c>
      <c r="E35" s="39"/>
    </row>
    <row r="36" spans="1:7" ht="15.75" customHeight="1" x14ac:dyDescent="0.3">
      <c r="C36" s="37">
        <v>1077.18</v>
      </c>
      <c r="D36" s="40">
        <f t="shared" si="0"/>
        <v>-4.7067563297277992E-3</v>
      </c>
      <c r="E36" s="39"/>
    </row>
    <row r="37" spans="1:7" ht="15.75" customHeight="1" x14ac:dyDescent="0.3">
      <c r="C37" s="37">
        <v>1084.8900000000001</v>
      </c>
      <c r="D37" s="40">
        <f t="shared" si="0"/>
        <v>2.4171328147957107E-3</v>
      </c>
      <c r="E37" s="39"/>
    </row>
    <row r="38" spans="1:7" ht="15.75" customHeight="1" x14ac:dyDescent="0.3">
      <c r="C38" s="37">
        <v>1085.78</v>
      </c>
      <c r="D38" s="40">
        <f t="shared" si="0"/>
        <v>3.2394754008689907E-3</v>
      </c>
      <c r="E38" s="39"/>
    </row>
    <row r="39" spans="1:7" ht="15.75" customHeight="1" x14ac:dyDescent="0.3">
      <c r="C39" s="37">
        <v>1086.6400000000001</v>
      </c>
      <c r="D39" s="40">
        <f t="shared" si="0"/>
        <v>4.0340985739287958E-3</v>
      </c>
      <c r="E39" s="39"/>
    </row>
    <row r="40" spans="1:7" ht="15.75" customHeight="1" x14ac:dyDescent="0.3">
      <c r="C40" s="37">
        <v>1087.9100000000001</v>
      </c>
      <c r="D40" s="40">
        <f t="shared" si="0"/>
        <v>5.207553724842503E-3</v>
      </c>
      <c r="E40" s="39"/>
    </row>
    <row r="41" spans="1:7" ht="15.75" customHeight="1" x14ac:dyDescent="0.3">
      <c r="C41" s="37">
        <v>1077.1400000000001</v>
      </c>
      <c r="D41" s="40">
        <f t="shared" si="0"/>
        <v>-4.7437155470793791E-3</v>
      </c>
      <c r="E41" s="39"/>
    </row>
    <row r="42" spans="1:7" ht="15.75" customHeight="1" x14ac:dyDescent="0.3">
      <c r="C42" s="37">
        <v>1082.4100000000001</v>
      </c>
      <c r="D42" s="40">
        <f t="shared" si="0"/>
        <v>1.2566133899566528E-4</v>
      </c>
      <c r="E42" s="39"/>
    </row>
    <row r="43" spans="1:7" ht="16.5" customHeight="1" thickBot="1" x14ac:dyDescent="0.35">
      <c r="C43" s="41">
        <v>1077.06</v>
      </c>
      <c r="D43" s="42">
        <f t="shared" si="0"/>
        <v>-4.8176339817827488E-3</v>
      </c>
      <c r="E43" s="39"/>
    </row>
    <row r="44" spans="1:7" ht="16.5" customHeight="1" thickBot="1" x14ac:dyDescent="0.35">
      <c r="C44" s="43"/>
      <c r="D44" s="39"/>
      <c r="E44" s="44"/>
    </row>
    <row r="45" spans="1:7" ht="16.5" customHeight="1" thickBot="1" x14ac:dyDescent="0.35">
      <c r="B45" s="45" t="s">
        <v>23</v>
      </c>
      <c r="C45" s="46">
        <f>SUM(C24:C44)</f>
        <v>21645.48</v>
      </c>
      <c r="D45" s="47"/>
      <c r="E45" s="43"/>
    </row>
    <row r="46" spans="1:7" ht="17.25" customHeight="1" thickBot="1" x14ac:dyDescent="0.35">
      <c r="B46" s="45" t="s">
        <v>24</v>
      </c>
      <c r="C46" s="48">
        <f>AVERAGE(C24:C44)</f>
        <v>1082.2739999999999</v>
      </c>
      <c r="E46" s="49"/>
    </row>
    <row r="47" spans="1:7" ht="17.25" customHeight="1" thickBot="1" x14ac:dyDescent="0.35">
      <c r="A47" s="27"/>
      <c r="B47" s="50"/>
      <c r="D47" s="51"/>
      <c r="E47" s="49"/>
    </row>
    <row r="48" spans="1:7" ht="33.75" customHeight="1" thickBot="1" x14ac:dyDescent="0.35">
      <c r="B48" s="52" t="s">
        <v>24</v>
      </c>
      <c r="C48" s="35" t="s">
        <v>25</v>
      </c>
      <c r="D48" s="53"/>
      <c r="G48" s="51"/>
    </row>
    <row r="49" spans="1:6" ht="17.25" customHeight="1" thickBot="1" x14ac:dyDescent="0.35">
      <c r="B49" s="70">
        <f>C46</f>
        <v>1082.2739999999999</v>
      </c>
      <c r="C49" s="54">
        <f>-IF(C46&lt;=80,10%,IF(C46&lt;250,7.5%,5%))</f>
        <v>-0.05</v>
      </c>
      <c r="D49" s="55">
        <f>IF(C46&lt;=80,C46*0.9,IF(C46&lt;250,C46*0.925,C46*0.95))</f>
        <v>1028.1602999999998</v>
      </c>
    </row>
    <row r="50" spans="1:6" ht="17.25" customHeight="1" thickBot="1" x14ac:dyDescent="0.35">
      <c r="B50" s="71"/>
      <c r="C50" s="56">
        <f>IF(C46&lt;=80, 10%, IF(C46&lt;250, 7.5%, 5%))</f>
        <v>0.05</v>
      </c>
      <c r="D50" s="55">
        <f>IF(C46&lt;=80, C46*1.1, IF(C46&lt;250, C46*1.075, C46*1.05))</f>
        <v>1136.3877</v>
      </c>
    </row>
    <row r="51" spans="1:6" ht="16.5" customHeight="1" thickBot="1" x14ac:dyDescent="0.35">
      <c r="A51" s="57"/>
      <c r="B51" s="58"/>
      <c r="C51" s="27"/>
      <c r="D51" s="59"/>
      <c r="E51" s="27"/>
      <c r="F51" s="32"/>
    </row>
    <row r="52" spans="1:6" ht="16.5" customHeight="1" x14ac:dyDescent="0.3">
      <c r="A52" s="27"/>
      <c r="B52" s="60" t="s">
        <v>7</v>
      </c>
      <c r="C52" s="60"/>
      <c r="D52" s="61" t="s">
        <v>8</v>
      </c>
      <c r="E52" s="62"/>
      <c r="F52" s="61" t="s">
        <v>9</v>
      </c>
    </row>
    <row r="53" spans="1:6" ht="34.5" customHeight="1" x14ac:dyDescent="0.3">
      <c r="A53" s="29" t="s">
        <v>10</v>
      </c>
      <c r="B53" s="63"/>
      <c r="C53" s="27"/>
      <c r="D53" s="63"/>
      <c r="E53" s="27"/>
      <c r="F53" s="63"/>
    </row>
    <row r="54" spans="1:6" ht="34.5" customHeight="1" x14ac:dyDescent="0.3">
      <c r="A54" s="29" t="s">
        <v>11</v>
      </c>
      <c r="B54" s="64"/>
      <c r="C54" s="65"/>
      <c r="D54" s="64"/>
      <c r="E54" s="27"/>
      <c r="F54" s="6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50"/>
  <sheetViews>
    <sheetView view="pageLayout" topLeftCell="C106" zoomScale="55" zoomScaleNormal="40" zoomScalePageLayoutView="55" workbookViewId="0">
      <selection activeCell="H114" sqref="H11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75" t="s">
        <v>26</v>
      </c>
      <c r="B1" s="75"/>
      <c r="C1" s="75"/>
      <c r="D1" s="75"/>
      <c r="E1" s="75"/>
      <c r="F1" s="75"/>
      <c r="G1" s="75"/>
      <c r="H1" s="75"/>
      <c r="I1" s="75"/>
    </row>
    <row r="2" spans="1:9" ht="18.75" customHeight="1" x14ac:dyDescent="0.25">
      <c r="A2" s="75"/>
      <c r="B2" s="75"/>
      <c r="C2" s="75"/>
      <c r="D2" s="75"/>
      <c r="E2" s="75"/>
      <c r="F2" s="75"/>
      <c r="G2" s="75"/>
      <c r="H2" s="75"/>
      <c r="I2" s="75"/>
    </row>
    <row r="3" spans="1:9" ht="18.75" customHeight="1" x14ac:dyDescent="0.25">
      <c r="A3" s="75"/>
      <c r="B3" s="75"/>
      <c r="C3" s="75"/>
      <c r="D3" s="75"/>
      <c r="E3" s="75"/>
      <c r="F3" s="75"/>
      <c r="G3" s="75"/>
      <c r="H3" s="75"/>
      <c r="I3" s="75"/>
    </row>
    <row r="4" spans="1:9" ht="18.75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8.75" customHeight="1" x14ac:dyDescent="0.25">
      <c r="A5" s="75"/>
      <c r="B5" s="75"/>
      <c r="C5" s="75"/>
      <c r="D5" s="75"/>
      <c r="E5" s="75"/>
      <c r="F5" s="75"/>
      <c r="G5" s="75"/>
      <c r="H5" s="75"/>
      <c r="I5" s="75"/>
    </row>
    <row r="6" spans="1:9" ht="18.75" customHeight="1" x14ac:dyDescent="0.25">
      <c r="A6" s="75"/>
      <c r="B6" s="75"/>
      <c r="C6" s="75"/>
      <c r="D6" s="75"/>
      <c r="E6" s="75"/>
      <c r="F6" s="75"/>
      <c r="G6" s="75"/>
      <c r="H6" s="75"/>
      <c r="I6" s="75"/>
    </row>
    <row r="7" spans="1:9" ht="18.75" customHeight="1" x14ac:dyDescent="0.25">
      <c r="A7" s="75"/>
      <c r="B7" s="75"/>
      <c r="C7" s="75"/>
      <c r="D7" s="75"/>
      <c r="E7" s="75"/>
      <c r="F7" s="75"/>
      <c r="G7" s="75"/>
      <c r="H7" s="75"/>
      <c r="I7" s="75"/>
    </row>
    <row r="8" spans="1:9" x14ac:dyDescent="0.25">
      <c r="A8" s="76" t="s">
        <v>27</v>
      </c>
      <c r="B8" s="76"/>
      <c r="C8" s="76"/>
      <c r="D8" s="76"/>
      <c r="E8" s="76"/>
      <c r="F8" s="76"/>
      <c r="G8" s="76"/>
      <c r="H8" s="76"/>
      <c r="I8" s="76"/>
    </row>
    <row r="9" spans="1:9" x14ac:dyDescent="0.25">
      <c r="A9" s="76"/>
      <c r="B9" s="76"/>
      <c r="C9" s="76"/>
      <c r="D9" s="76"/>
      <c r="E9" s="76"/>
      <c r="F9" s="76"/>
      <c r="G9" s="76"/>
      <c r="H9" s="76"/>
      <c r="I9" s="76"/>
    </row>
    <row r="10" spans="1:9" x14ac:dyDescent="0.25">
      <c r="A10" s="76"/>
      <c r="B10" s="76"/>
      <c r="C10" s="76"/>
      <c r="D10" s="76"/>
      <c r="E10" s="76"/>
      <c r="F10" s="76"/>
      <c r="G10" s="76"/>
      <c r="H10" s="76"/>
      <c r="I10" s="76"/>
    </row>
    <row r="11" spans="1:9" x14ac:dyDescent="0.25">
      <c r="A11" s="76"/>
      <c r="B11" s="76"/>
      <c r="C11" s="76"/>
      <c r="D11" s="76"/>
      <c r="E11" s="76"/>
      <c r="F11" s="76"/>
      <c r="G11" s="76"/>
      <c r="H11" s="76"/>
      <c r="I11" s="76"/>
    </row>
    <row r="12" spans="1:9" x14ac:dyDescent="0.25">
      <c r="A12" s="76"/>
      <c r="B12" s="76"/>
      <c r="C12" s="76"/>
      <c r="D12" s="76"/>
      <c r="E12" s="76"/>
      <c r="F12" s="76"/>
      <c r="G12" s="76"/>
      <c r="H12" s="76"/>
      <c r="I12" s="76"/>
    </row>
    <row r="13" spans="1:9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x14ac:dyDescent="0.25">
      <c r="A14" s="76"/>
      <c r="B14" s="76"/>
      <c r="C14" s="76"/>
      <c r="D14" s="76"/>
      <c r="E14" s="76"/>
      <c r="F14" s="76"/>
      <c r="G14" s="76"/>
      <c r="H14" s="76"/>
      <c r="I14" s="76"/>
    </row>
    <row r="15" spans="1:9" ht="19.5" customHeight="1" x14ac:dyDescent="0.3">
      <c r="A15" s="77"/>
      <c r="B15" s="78"/>
      <c r="C15" s="78"/>
      <c r="D15" s="78"/>
      <c r="E15" s="78"/>
      <c r="F15" s="78"/>
      <c r="G15" s="78"/>
      <c r="H15" s="78"/>
      <c r="I15" s="78"/>
    </row>
    <row r="16" spans="1:9" ht="19.5" customHeight="1" x14ac:dyDescent="0.3">
      <c r="A16" s="79" t="s">
        <v>12</v>
      </c>
      <c r="B16" s="80"/>
      <c r="C16" s="80"/>
      <c r="D16" s="80"/>
      <c r="E16" s="80"/>
      <c r="F16" s="80"/>
      <c r="G16" s="80"/>
      <c r="H16" s="81"/>
      <c r="I16" s="78"/>
    </row>
    <row r="17" spans="1:14" ht="20.25" customHeight="1" x14ac:dyDescent="0.25">
      <c r="A17" s="82" t="s">
        <v>28</v>
      </c>
      <c r="B17" s="82"/>
      <c r="C17" s="82"/>
      <c r="D17" s="82"/>
      <c r="E17" s="82"/>
      <c r="F17" s="82"/>
      <c r="G17" s="82"/>
      <c r="H17" s="82"/>
      <c r="I17" s="78"/>
    </row>
    <row r="18" spans="1:14" ht="26.25" customHeight="1" x14ac:dyDescent="0.4">
      <c r="A18" s="83" t="s">
        <v>14</v>
      </c>
      <c r="B18" s="84" t="s">
        <v>2</v>
      </c>
      <c r="C18" s="84"/>
      <c r="D18" s="85"/>
      <c r="E18" s="86"/>
      <c r="F18" s="87"/>
      <c r="G18" s="87"/>
      <c r="H18" s="87"/>
      <c r="I18" s="78"/>
    </row>
    <row r="19" spans="1:14" ht="26.25" customHeight="1" x14ac:dyDescent="0.4">
      <c r="A19" s="83" t="s">
        <v>15</v>
      </c>
      <c r="B19" s="88" t="s">
        <v>100</v>
      </c>
      <c r="C19" s="87">
        <v>1</v>
      </c>
      <c r="D19" s="87"/>
      <c r="E19" s="87"/>
      <c r="F19" s="87"/>
      <c r="G19" s="87"/>
      <c r="H19" s="87"/>
      <c r="I19" s="78"/>
    </row>
    <row r="20" spans="1:14" ht="26.25" customHeight="1" x14ac:dyDescent="0.4">
      <c r="A20" s="83" t="s">
        <v>16</v>
      </c>
      <c r="B20" s="89" t="s">
        <v>99</v>
      </c>
      <c r="C20" s="89"/>
      <c r="D20" s="87"/>
      <c r="E20" s="87"/>
      <c r="F20" s="87"/>
      <c r="G20" s="87"/>
      <c r="H20" s="87"/>
      <c r="I20" s="78"/>
    </row>
    <row r="21" spans="1:14" ht="26.25" customHeight="1" x14ac:dyDescent="0.4">
      <c r="A21" s="83" t="s">
        <v>17</v>
      </c>
      <c r="B21" s="89" t="s">
        <v>98</v>
      </c>
      <c r="C21" s="89"/>
      <c r="D21" s="89"/>
      <c r="E21" s="89"/>
      <c r="F21" s="89"/>
      <c r="G21" s="89"/>
      <c r="H21" s="89"/>
      <c r="I21" s="90"/>
    </row>
    <row r="22" spans="1:14" ht="26.25" customHeight="1" x14ac:dyDescent="0.4">
      <c r="A22" s="83" t="s">
        <v>18</v>
      </c>
      <c r="B22" s="91">
        <v>42761</v>
      </c>
      <c r="C22" s="87"/>
      <c r="D22" s="87"/>
      <c r="E22" s="87"/>
      <c r="F22" s="87"/>
      <c r="G22" s="87"/>
      <c r="H22" s="87"/>
      <c r="I22" s="78"/>
    </row>
    <row r="23" spans="1:14" ht="26.25" customHeight="1" x14ac:dyDescent="0.4">
      <c r="A23" s="83" t="s">
        <v>19</v>
      </c>
      <c r="B23" s="91">
        <v>42762</v>
      </c>
      <c r="C23" s="87"/>
      <c r="D23" s="87"/>
      <c r="E23" s="87"/>
      <c r="F23" s="87"/>
      <c r="G23" s="87"/>
      <c r="H23" s="87"/>
      <c r="I23" s="78"/>
    </row>
    <row r="24" spans="1:14" ht="18.75" x14ac:dyDescent="0.3">
      <c r="A24" s="83"/>
      <c r="B24" s="92"/>
      <c r="C24" s="78"/>
      <c r="D24" s="78"/>
      <c r="E24" s="78"/>
      <c r="F24" s="78"/>
      <c r="G24" s="78"/>
      <c r="H24" s="78"/>
      <c r="I24" s="78"/>
    </row>
    <row r="25" spans="1:14" ht="18.75" x14ac:dyDescent="0.3">
      <c r="A25" s="93" t="s">
        <v>0</v>
      </c>
      <c r="B25" s="92"/>
      <c r="C25" s="78"/>
      <c r="D25" s="78"/>
      <c r="E25" s="78"/>
      <c r="F25" s="78"/>
      <c r="G25" s="78"/>
      <c r="H25" s="78"/>
      <c r="I25" s="78"/>
    </row>
    <row r="26" spans="1:14" ht="26.25" customHeight="1" x14ac:dyDescent="0.4">
      <c r="A26" s="94" t="s">
        <v>1</v>
      </c>
      <c r="B26" s="84" t="s">
        <v>95</v>
      </c>
      <c r="C26" s="84"/>
      <c r="D26" s="78"/>
      <c r="E26" s="78"/>
      <c r="F26" s="78"/>
      <c r="G26" s="78"/>
      <c r="H26" s="78"/>
      <c r="I26" s="78"/>
    </row>
    <row r="27" spans="1:14" ht="26.25" customHeight="1" x14ac:dyDescent="0.4">
      <c r="A27" s="95" t="s">
        <v>29</v>
      </c>
      <c r="B27" s="96" t="s">
        <v>96</v>
      </c>
      <c r="C27" s="96"/>
      <c r="D27" s="78"/>
      <c r="E27" s="78"/>
      <c r="F27" s="78"/>
      <c r="G27" s="78"/>
      <c r="H27" s="78"/>
      <c r="I27" s="78"/>
    </row>
    <row r="28" spans="1:14" ht="27" customHeight="1" x14ac:dyDescent="0.4">
      <c r="A28" s="95" t="s">
        <v>3</v>
      </c>
      <c r="B28" s="97">
        <v>99.3</v>
      </c>
      <c r="C28" s="78"/>
      <c r="D28" s="78"/>
      <c r="E28" s="78"/>
      <c r="F28" s="78"/>
      <c r="G28" s="78"/>
      <c r="H28" s="78"/>
      <c r="I28" s="78"/>
    </row>
    <row r="29" spans="1:14" s="2" customFormat="1" ht="27" customHeight="1" x14ac:dyDescent="0.4">
      <c r="A29" s="95" t="s">
        <v>30</v>
      </c>
      <c r="B29" s="98">
        <v>0.35</v>
      </c>
      <c r="C29" s="99" t="s">
        <v>31</v>
      </c>
      <c r="D29" s="100"/>
      <c r="E29" s="100"/>
      <c r="F29" s="100"/>
      <c r="G29" s="101"/>
      <c r="H29" s="102"/>
      <c r="I29" s="103"/>
      <c r="J29" s="4"/>
      <c r="K29" s="4"/>
      <c r="L29" s="4"/>
    </row>
    <row r="30" spans="1:14" s="2" customFormat="1" ht="19.5" customHeight="1" x14ac:dyDescent="0.3">
      <c r="A30" s="95" t="s">
        <v>32</v>
      </c>
      <c r="B30" s="104">
        <f>B28-B29</f>
        <v>98.95</v>
      </c>
      <c r="C30" s="105"/>
      <c r="D30" s="105"/>
      <c r="E30" s="105"/>
      <c r="F30" s="105"/>
      <c r="G30" s="106"/>
      <c r="H30" s="102"/>
      <c r="I30" s="103"/>
      <c r="J30" s="4"/>
      <c r="K30" s="4"/>
      <c r="L30" s="4"/>
    </row>
    <row r="31" spans="1:14" s="2" customFormat="1" ht="27" customHeight="1" x14ac:dyDescent="0.4">
      <c r="A31" s="95" t="s">
        <v>33</v>
      </c>
      <c r="B31" s="107">
        <v>1</v>
      </c>
      <c r="C31" s="108" t="s">
        <v>34</v>
      </c>
      <c r="D31" s="109"/>
      <c r="E31" s="109"/>
      <c r="F31" s="109"/>
      <c r="G31" s="109"/>
      <c r="H31" s="110"/>
      <c r="I31" s="103"/>
      <c r="J31" s="4"/>
      <c r="K31" s="4"/>
      <c r="L31" s="4"/>
    </row>
    <row r="32" spans="1:14" s="2" customFormat="1" ht="27" customHeight="1" x14ac:dyDescent="0.4">
      <c r="A32" s="95" t="s">
        <v>35</v>
      </c>
      <c r="B32" s="107">
        <v>1</v>
      </c>
      <c r="C32" s="108" t="s">
        <v>36</v>
      </c>
      <c r="D32" s="109"/>
      <c r="E32" s="109"/>
      <c r="F32" s="109"/>
      <c r="G32" s="109"/>
      <c r="H32" s="110"/>
      <c r="I32" s="103"/>
      <c r="J32" s="4"/>
      <c r="K32" s="4"/>
      <c r="L32" s="5"/>
      <c r="M32" s="5"/>
      <c r="N32" s="6"/>
    </row>
    <row r="33" spans="1:14" s="2" customFormat="1" ht="17.25" customHeight="1" x14ac:dyDescent="0.3">
      <c r="A33" s="95"/>
      <c r="B33" s="111"/>
      <c r="C33" s="112"/>
      <c r="D33" s="112"/>
      <c r="E33" s="112"/>
      <c r="F33" s="112"/>
      <c r="G33" s="112"/>
      <c r="H33" s="112"/>
      <c r="I33" s="103"/>
      <c r="J33" s="4"/>
      <c r="K33" s="4"/>
      <c r="L33" s="5"/>
      <c r="M33" s="5"/>
      <c r="N33" s="6"/>
    </row>
    <row r="34" spans="1:14" s="2" customFormat="1" ht="18.75" x14ac:dyDescent="0.3">
      <c r="A34" s="95" t="s">
        <v>37</v>
      </c>
      <c r="B34" s="113">
        <f>B31/B32</f>
        <v>1</v>
      </c>
      <c r="C34" s="77" t="s">
        <v>38</v>
      </c>
      <c r="D34" s="77"/>
      <c r="E34" s="77"/>
      <c r="F34" s="77"/>
      <c r="G34" s="77"/>
      <c r="H34" s="102"/>
      <c r="I34" s="103"/>
      <c r="J34" s="4"/>
      <c r="K34" s="4"/>
      <c r="L34" s="5"/>
      <c r="M34" s="5"/>
      <c r="N34" s="6"/>
    </row>
    <row r="35" spans="1:14" s="2" customFormat="1" ht="19.5" customHeight="1" x14ac:dyDescent="0.3">
      <c r="A35" s="95"/>
      <c r="B35" s="104"/>
      <c r="C35" s="102"/>
      <c r="D35" s="102"/>
      <c r="E35" s="102"/>
      <c r="F35" s="102"/>
      <c r="G35" s="77"/>
      <c r="H35" s="102"/>
      <c r="I35" s="103"/>
      <c r="J35" s="4"/>
      <c r="K35" s="4"/>
      <c r="L35" s="5"/>
      <c r="M35" s="5"/>
      <c r="N35" s="6"/>
    </row>
    <row r="36" spans="1:14" s="2" customFormat="1" ht="27" customHeight="1" x14ac:dyDescent="0.4">
      <c r="A36" s="114" t="s">
        <v>39</v>
      </c>
      <c r="B36" s="115">
        <v>20</v>
      </c>
      <c r="C36" s="77"/>
      <c r="D36" s="116" t="s">
        <v>40</v>
      </c>
      <c r="E36" s="117"/>
      <c r="F36" s="116" t="s">
        <v>41</v>
      </c>
      <c r="G36" s="118"/>
      <c r="H36" s="102"/>
      <c r="I36" s="102"/>
      <c r="J36" s="4"/>
      <c r="K36" s="4"/>
      <c r="L36" s="5"/>
      <c r="M36" s="5"/>
      <c r="N36" s="6"/>
    </row>
    <row r="37" spans="1:14" s="2" customFormat="1" ht="27" customHeight="1" x14ac:dyDescent="0.4">
      <c r="A37" s="119" t="s">
        <v>102</v>
      </c>
      <c r="B37" s="120">
        <v>4</v>
      </c>
      <c r="C37" s="121" t="s">
        <v>42</v>
      </c>
      <c r="D37" s="122" t="s">
        <v>43</v>
      </c>
      <c r="E37" s="123" t="s">
        <v>44</v>
      </c>
      <c r="F37" s="122" t="s">
        <v>43</v>
      </c>
      <c r="G37" s="124" t="s">
        <v>44</v>
      </c>
      <c r="H37" s="102"/>
      <c r="I37" s="125" t="s">
        <v>45</v>
      </c>
      <c r="J37" s="4"/>
      <c r="K37" s="4"/>
      <c r="L37" s="5"/>
      <c r="M37" s="5"/>
      <c r="N37" s="6"/>
    </row>
    <row r="38" spans="1:14" s="2" customFormat="1" ht="26.25" customHeight="1" x14ac:dyDescent="0.4">
      <c r="A38" s="119" t="s">
        <v>103</v>
      </c>
      <c r="B38" s="120">
        <v>100</v>
      </c>
      <c r="C38" s="126">
        <v>1</v>
      </c>
      <c r="D38" s="127">
        <v>463592</v>
      </c>
      <c r="E38" s="128">
        <f>IF(ISBLANK(D38),"-",$D$48/$D$45*D38)</f>
        <v>483001.41173038556</v>
      </c>
      <c r="F38" s="127">
        <v>493449</v>
      </c>
      <c r="G38" s="129">
        <f>IF(ISBLANK(F38),"-",$D$48/$F$45*F38)</f>
        <v>469903.59909794899</v>
      </c>
      <c r="H38" s="102"/>
      <c r="I38" s="130"/>
      <c r="J38" s="4"/>
      <c r="K38" s="4"/>
      <c r="L38" s="5"/>
      <c r="M38" s="5"/>
      <c r="N38" s="6"/>
    </row>
    <row r="39" spans="1:14" s="2" customFormat="1" ht="26.25" customHeight="1" x14ac:dyDescent="0.4">
      <c r="A39" s="119" t="s">
        <v>104</v>
      </c>
      <c r="B39" s="120">
        <v>1</v>
      </c>
      <c r="C39" s="131">
        <v>2</v>
      </c>
      <c r="D39" s="132">
        <v>461226</v>
      </c>
      <c r="E39" s="133">
        <f>IF(ISBLANK(D39),"-",$D$48/$D$45*D39)</f>
        <v>480536.35335976206</v>
      </c>
      <c r="F39" s="132">
        <v>494400</v>
      </c>
      <c r="G39" s="134">
        <f>IF(ISBLANK(F39),"-",$D$48/$F$45*F39)</f>
        <v>470809.22120427032</v>
      </c>
      <c r="H39" s="102"/>
      <c r="I39" s="135">
        <f>ABS((F43/D43*D42)-F42)/D42</f>
        <v>2.5681311034455988E-2</v>
      </c>
      <c r="J39" s="4"/>
      <c r="K39" s="4"/>
      <c r="L39" s="5"/>
      <c r="M39" s="5"/>
      <c r="N39" s="6"/>
    </row>
    <row r="40" spans="1:14" ht="26.25" customHeight="1" x14ac:dyDescent="0.4">
      <c r="A40" s="119" t="s">
        <v>105</v>
      </c>
      <c r="B40" s="120">
        <v>1</v>
      </c>
      <c r="C40" s="131">
        <v>3</v>
      </c>
      <c r="D40" s="132">
        <v>461961</v>
      </c>
      <c r="E40" s="133">
        <f>IF(ISBLANK(D40),"-",$D$48/$D$45*D40)</f>
        <v>481302.12593051791</v>
      </c>
      <c r="F40" s="132">
        <v>493773</v>
      </c>
      <c r="G40" s="134">
        <f>IF(ISBLANK(F40),"-",$D$48/$F$45*F40)</f>
        <v>470212.13912155369</v>
      </c>
      <c r="H40" s="78"/>
      <c r="I40" s="135"/>
      <c r="L40" s="5"/>
      <c r="M40" s="5"/>
      <c r="N40" s="7"/>
    </row>
    <row r="41" spans="1:14" ht="27" customHeight="1" x14ac:dyDescent="0.4">
      <c r="A41" s="119" t="s">
        <v>106</v>
      </c>
      <c r="B41" s="120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H41" s="78"/>
      <c r="I41" s="140"/>
      <c r="L41" s="5"/>
      <c r="M41" s="5"/>
      <c r="N41" s="7"/>
    </row>
    <row r="42" spans="1:14" ht="27" customHeight="1" x14ac:dyDescent="0.4">
      <c r="A42" s="119" t="s">
        <v>107</v>
      </c>
      <c r="B42" s="120">
        <v>1</v>
      </c>
      <c r="C42" s="141" t="s">
        <v>46</v>
      </c>
      <c r="D42" s="142">
        <f>AVERAGE(D38:D41)</f>
        <v>462259.66666666669</v>
      </c>
      <c r="E42" s="143">
        <f>AVERAGE(E38:E41)</f>
        <v>481613.29700688849</v>
      </c>
      <c r="F42" s="142">
        <f>AVERAGE(F38:F41)</f>
        <v>493874</v>
      </c>
      <c r="G42" s="144">
        <f>AVERAGE(G38:G41)</f>
        <v>470308.31980792433</v>
      </c>
      <c r="H42" s="145"/>
      <c r="I42" s="78"/>
    </row>
    <row r="43" spans="1:14" ht="26.25" customHeight="1" x14ac:dyDescent="0.4">
      <c r="A43" s="119" t="s">
        <v>108</v>
      </c>
      <c r="B43" s="120">
        <v>1</v>
      </c>
      <c r="C43" s="146" t="s">
        <v>47</v>
      </c>
      <c r="D43" s="147">
        <v>15.52</v>
      </c>
      <c r="E43" s="77"/>
      <c r="F43" s="147">
        <v>16.98</v>
      </c>
      <c r="G43" s="78"/>
      <c r="H43" s="145"/>
      <c r="I43" s="78"/>
    </row>
    <row r="44" spans="1:14" ht="26.25" customHeight="1" x14ac:dyDescent="0.4">
      <c r="A44" s="119" t="s">
        <v>109</v>
      </c>
      <c r="B44" s="120">
        <v>1</v>
      </c>
      <c r="C44" s="148" t="s">
        <v>48</v>
      </c>
      <c r="D44" s="149">
        <f>D43*$B$34</f>
        <v>15.52</v>
      </c>
      <c r="E44" s="150"/>
      <c r="F44" s="149">
        <f>F43*$B$34</f>
        <v>16.98</v>
      </c>
      <c r="G44" s="78"/>
      <c r="H44" s="145"/>
      <c r="I44" s="78"/>
    </row>
    <row r="45" spans="1:14" ht="19.5" customHeight="1" x14ac:dyDescent="0.3">
      <c r="A45" s="119" t="s">
        <v>49</v>
      </c>
      <c r="B45" s="131">
        <f>(B44/B43)*(B42/B41)*(B40/B39)*(B38/B37)*B36</f>
        <v>500</v>
      </c>
      <c r="C45" s="148" t="s">
        <v>50</v>
      </c>
      <c r="D45" s="151">
        <f>D44*$B$30/100</f>
        <v>15.35704</v>
      </c>
      <c r="E45" s="152"/>
      <c r="F45" s="151">
        <f>F44*$B$30/100</f>
        <v>16.80171</v>
      </c>
      <c r="G45" s="78"/>
      <c r="H45" s="145"/>
      <c r="I45" s="78"/>
    </row>
    <row r="46" spans="1:14" ht="19.5" customHeight="1" x14ac:dyDescent="0.3">
      <c r="A46" s="153" t="s">
        <v>51</v>
      </c>
      <c r="B46" s="154"/>
      <c r="C46" s="148" t="s">
        <v>52</v>
      </c>
      <c r="D46" s="155">
        <f>D45/$B$45</f>
        <v>3.0714079999999998E-2</v>
      </c>
      <c r="E46" s="156"/>
      <c r="F46" s="157">
        <f>F45/$B$45</f>
        <v>3.3603420000000002E-2</v>
      </c>
      <c r="G46" s="78"/>
      <c r="H46" s="145"/>
      <c r="I46" s="78"/>
    </row>
    <row r="47" spans="1:14" ht="27" customHeight="1" x14ac:dyDescent="0.4">
      <c r="A47" s="158"/>
      <c r="B47" s="159"/>
      <c r="C47" s="160" t="s">
        <v>53</v>
      </c>
      <c r="D47" s="161">
        <v>3.2000000000000001E-2</v>
      </c>
      <c r="E47" s="162"/>
      <c r="F47" s="156"/>
      <c r="G47" s="78"/>
      <c r="H47" s="145"/>
      <c r="I47" s="78"/>
    </row>
    <row r="48" spans="1:14" ht="18.75" x14ac:dyDescent="0.3">
      <c r="A48" s="78"/>
      <c r="B48" s="78"/>
      <c r="C48" s="163" t="s">
        <v>54</v>
      </c>
      <c r="D48" s="151">
        <f>D47*$B$45</f>
        <v>16</v>
      </c>
      <c r="E48" s="78"/>
      <c r="F48" s="164"/>
      <c r="G48" s="78"/>
      <c r="H48" s="145"/>
      <c r="I48" s="78"/>
    </row>
    <row r="49" spans="1:12" ht="19.5" customHeight="1" x14ac:dyDescent="0.3">
      <c r="A49" s="78"/>
      <c r="B49" s="78"/>
      <c r="C49" s="165" t="s">
        <v>55</v>
      </c>
      <c r="D49" s="166">
        <f>D48/B34</f>
        <v>16</v>
      </c>
      <c r="E49" s="78"/>
      <c r="F49" s="164"/>
      <c r="G49" s="78"/>
      <c r="H49" s="145"/>
      <c r="I49" s="78"/>
    </row>
    <row r="50" spans="1:12" ht="18.75" x14ac:dyDescent="0.3">
      <c r="A50" s="78"/>
      <c r="B50" s="78"/>
      <c r="C50" s="114" t="s">
        <v>56</v>
      </c>
      <c r="D50" s="167">
        <f>AVERAGE(E38:E41,G38:G41)</f>
        <v>475960.80840740638</v>
      </c>
      <c r="E50" s="78"/>
      <c r="F50" s="168"/>
      <c r="G50" s="78"/>
      <c r="H50" s="145"/>
      <c r="I50" s="78"/>
    </row>
    <row r="51" spans="1:12" ht="18.75" x14ac:dyDescent="0.3">
      <c r="A51" s="78"/>
      <c r="B51" s="78"/>
      <c r="C51" s="119" t="s">
        <v>57</v>
      </c>
      <c r="D51" s="169">
        <f>STDEV(E38:E41,G38:G41)/D50</f>
        <v>1.3131290026618858E-2</v>
      </c>
      <c r="E51" s="78"/>
      <c r="F51" s="168"/>
      <c r="G51" s="78"/>
      <c r="H51" s="145"/>
      <c r="I51" s="78"/>
    </row>
    <row r="52" spans="1:12" ht="19.5" customHeight="1" x14ac:dyDescent="0.3">
      <c r="A52" s="78"/>
      <c r="B52" s="78"/>
      <c r="C52" s="170" t="s">
        <v>6</v>
      </c>
      <c r="D52" s="171">
        <f>COUNT(E38:E41,G38:G41)</f>
        <v>6</v>
      </c>
      <c r="E52" s="78"/>
      <c r="F52" s="168"/>
      <c r="G52" s="78"/>
      <c r="H52" s="78"/>
      <c r="I52" s="78"/>
    </row>
    <row r="53" spans="1:12" x14ac:dyDescent="0.25">
      <c r="A53" s="78"/>
      <c r="B53" s="78"/>
      <c r="C53" s="78"/>
      <c r="D53" s="78"/>
      <c r="E53" s="78"/>
      <c r="F53" s="78"/>
      <c r="G53" s="78"/>
      <c r="H53" s="78"/>
      <c r="I53" s="78"/>
    </row>
    <row r="54" spans="1:12" ht="18.75" x14ac:dyDescent="0.3">
      <c r="A54" s="172" t="s">
        <v>0</v>
      </c>
      <c r="B54" s="173" t="s">
        <v>58</v>
      </c>
      <c r="C54" s="78"/>
      <c r="D54" s="78"/>
      <c r="E54" s="78"/>
      <c r="F54" s="78"/>
      <c r="G54" s="78"/>
      <c r="H54" s="78"/>
      <c r="I54" s="78"/>
    </row>
    <row r="55" spans="1:12" ht="18.75" x14ac:dyDescent="0.3">
      <c r="A55" s="77" t="s">
        <v>59</v>
      </c>
      <c r="B55" s="174" t="str">
        <f>B21</f>
        <v>Each tablet contains  Trimethoprim 160 mg</v>
      </c>
      <c r="C55" s="78"/>
      <c r="D55" s="78"/>
      <c r="E55" s="78"/>
      <c r="F55" s="78"/>
      <c r="G55" s="78"/>
      <c r="H55" s="78"/>
      <c r="I55" s="78"/>
    </row>
    <row r="56" spans="1:12" ht="26.25" customHeight="1" x14ac:dyDescent="0.4">
      <c r="A56" s="174" t="s">
        <v>60</v>
      </c>
      <c r="B56" s="175">
        <v>160</v>
      </c>
      <c r="C56" s="77" t="str">
        <f>B20</f>
        <v>Trimethoprim BP</v>
      </c>
      <c r="D56" s="78"/>
      <c r="E56" s="78"/>
      <c r="F56" s="78"/>
      <c r="G56" s="78"/>
      <c r="H56" s="150"/>
      <c r="I56" s="78"/>
    </row>
    <row r="57" spans="1:12" ht="18.75" x14ac:dyDescent="0.3">
      <c r="A57" s="174" t="s">
        <v>61</v>
      </c>
      <c r="B57" s="176">
        <f>Uniformity!C46</f>
        <v>1082.2739999999999</v>
      </c>
      <c r="C57" s="78"/>
      <c r="D57" s="78"/>
      <c r="E57" s="78"/>
      <c r="F57" s="78"/>
      <c r="G57" s="78"/>
      <c r="H57" s="150"/>
      <c r="I57" s="78"/>
    </row>
    <row r="58" spans="1:12" ht="19.5" customHeight="1" x14ac:dyDescent="0.3">
      <c r="A58" s="78"/>
      <c r="B58" s="78"/>
      <c r="C58" s="78"/>
      <c r="D58" s="78"/>
      <c r="E58" s="78"/>
      <c r="F58" s="78"/>
      <c r="G58" s="78"/>
      <c r="H58" s="150"/>
      <c r="I58" s="78"/>
    </row>
    <row r="59" spans="1:12" s="2" customFormat="1" ht="27" customHeight="1" x14ac:dyDescent="0.4">
      <c r="A59" s="114" t="s">
        <v>62</v>
      </c>
      <c r="B59" s="115">
        <v>100</v>
      </c>
      <c r="C59" s="77"/>
      <c r="D59" s="177" t="s">
        <v>63</v>
      </c>
      <c r="E59" s="178" t="s">
        <v>42</v>
      </c>
      <c r="F59" s="178" t="s">
        <v>43</v>
      </c>
      <c r="G59" s="178" t="s">
        <v>64</v>
      </c>
      <c r="H59" s="121" t="s">
        <v>65</v>
      </c>
      <c r="I59" s="102"/>
      <c r="L59" s="4"/>
    </row>
    <row r="60" spans="1:12" s="2" customFormat="1" ht="26.25" customHeight="1" x14ac:dyDescent="0.4">
      <c r="A60" s="119" t="s">
        <v>110</v>
      </c>
      <c r="B60" s="120">
        <v>2</v>
      </c>
      <c r="C60" s="179" t="s">
        <v>66</v>
      </c>
      <c r="D60" s="180">
        <v>1073.3800000000001</v>
      </c>
      <c r="E60" s="181">
        <v>1</v>
      </c>
      <c r="F60" s="182">
        <v>477440</v>
      </c>
      <c r="G60" s="183">
        <f>IF(ISBLANK(F60),"-",(F60/$D$50*$D$47*$B$68)*($B$57/$D$60))</f>
        <v>161.82712440833166</v>
      </c>
      <c r="H60" s="184">
        <f t="shared" ref="H60:H71" si="0">IF(ISBLANK(F60),"-",(G60/$B$56)*100)</f>
        <v>101.14195275520727</v>
      </c>
      <c r="I60" s="102"/>
      <c r="L60" s="4"/>
    </row>
    <row r="61" spans="1:12" s="2" customFormat="1" ht="26.25" customHeight="1" x14ac:dyDescent="0.4">
      <c r="A61" s="119" t="s">
        <v>111</v>
      </c>
      <c r="B61" s="120">
        <v>100</v>
      </c>
      <c r="C61" s="185"/>
      <c r="D61" s="186"/>
      <c r="E61" s="187">
        <v>2</v>
      </c>
      <c r="F61" s="132">
        <v>472763</v>
      </c>
      <c r="G61" s="188">
        <f>IF(ISBLANK(F61),"-",(F61/$D$50*$D$47*$B$68)*($B$57/$D$60))</f>
        <v>160.24186665687017</v>
      </c>
      <c r="H61" s="189">
        <f t="shared" si="0"/>
        <v>100.15116666054386</v>
      </c>
      <c r="I61" s="102"/>
      <c r="L61" s="4"/>
    </row>
    <row r="62" spans="1:12" s="2" customFormat="1" ht="26.25" customHeight="1" x14ac:dyDescent="0.4">
      <c r="A62" s="119" t="s">
        <v>112</v>
      </c>
      <c r="B62" s="120">
        <v>1</v>
      </c>
      <c r="C62" s="185"/>
      <c r="D62" s="186"/>
      <c r="E62" s="187">
        <v>3</v>
      </c>
      <c r="F62" s="190">
        <v>476442</v>
      </c>
      <c r="G62" s="188">
        <f>IF(ISBLANK(F62),"-",(F62/$D$50*$D$47*$B$68)*($B$57/$D$60))</f>
        <v>161.48885474060478</v>
      </c>
      <c r="H62" s="189">
        <f t="shared" si="0"/>
        <v>100.93053421287799</v>
      </c>
      <c r="I62" s="102"/>
      <c r="L62" s="4"/>
    </row>
    <row r="63" spans="1:12" ht="27" customHeight="1" x14ac:dyDescent="0.4">
      <c r="A63" s="119" t="s">
        <v>113</v>
      </c>
      <c r="B63" s="120">
        <v>1</v>
      </c>
      <c r="C63" s="191"/>
      <c r="D63" s="192"/>
      <c r="E63" s="193">
        <v>4</v>
      </c>
      <c r="F63" s="194"/>
      <c r="G63" s="188" t="str">
        <f>IF(ISBLANK(F63),"-",(F63/$D$50*$D$47*$B$68)*($B$57/$D$60))</f>
        <v>-</v>
      </c>
      <c r="H63" s="189" t="str">
        <f t="shared" si="0"/>
        <v>-</v>
      </c>
      <c r="I63" s="78"/>
    </row>
    <row r="64" spans="1:12" ht="26.25" customHeight="1" x14ac:dyDescent="0.4">
      <c r="A64" s="119" t="s">
        <v>114</v>
      </c>
      <c r="B64" s="120">
        <v>1</v>
      </c>
      <c r="C64" s="179" t="s">
        <v>67</v>
      </c>
      <c r="D64" s="180">
        <v>1077.9100000000001</v>
      </c>
      <c r="E64" s="181">
        <v>1</v>
      </c>
      <c r="F64" s="182">
        <v>475351</v>
      </c>
      <c r="G64" s="183">
        <f>IF(ISBLANK(F64),"-",(F64/$D$50*$D$47*$B$68)*($B$57/$D$64))</f>
        <v>160.4419476475488</v>
      </c>
      <c r="H64" s="184">
        <f t="shared" si="0"/>
        <v>100.27621727971801</v>
      </c>
      <c r="I64" s="78"/>
    </row>
    <row r="65" spans="1:9" ht="26.25" customHeight="1" x14ac:dyDescent="0.4">
      <c r="A65" s="119" t="s">
        <v>115</v>
      </c>
      <c r="B65" s="120">
        <v>1</v>
      </c>
      <c r="C65" s="185"/>
      <c r="D65" s="186"/>
      <c r="E65" s="187">
        <v>2</v>
      </c>
      <c r="F65" s="132">
        <v>479620</v>
      </c>
      <c r="G65" s="188">
        <f>IF(ISBLANK(F65),"-",(F65/$D$50*$D$47*$B$68)*($B$57/$D$64))</f>
        <v>161.88283380221637</v>
      </c>
      <c r="H65" s="189">
        <f t="shared" si="0"/>
        <v>101.17677112638523</v>
      </c>
      <c r="I65" s="78"/>
    </row>
    <row r="66" spans="1:9" ht="26.25" customHeight="1" x14ac:dyDescent="0.4">
      <c r="A66" s="119" t="s">
        <v>116</v>
      </c>
      <c r="B66" s="120">
        <v>1</v>
      </c>
      <c r="C66" s="185"/>
      <c r="D66" s="186"/>
      <c r="E66" s="187">
        <v>3</v>
      </c>
      <c r="F66" s="132">
        <v>480484</v>
      </c>
      <c r="G66" s="188">
        <f>IF(ISBLANK(F66),"-",(F66/$D$50*$D$47*$B$68)*($B$57/$D$64))</f>
        <v>162.17445376886729</v>
      </c>
      <c r="H66" s="189">
        <f t="shared" si="0"/>
        <v>101.35903360554207</v>
      </c>
      <c r="I66" s="78"/>
    </row>
    <row r="67" spans="1:9" ht="27" customHeight="1" x14ac:dyDescent="0.4">
      <c r="A67" s="119" t="s">
        <v>117</v>
      </c>
      <c r="B67" s="120">
        <v>1</v>
      </c>
      <c r="C67" s="191"/>
      <c r="D67" s="192"/>
      <c r="E67" s="193">
        <v>4</v>
      </c>
      <c r="F67" s="194"/>
      <c r="G67" s="195" t="str">
        <f>IF(ISBLANK(F67),"-",(F67/$D$50*$D$47*$B$68)*($B$57/$D$64))</f>
        <v>-</v>
      </c>
      <c r="H67" s="196" t="str">
        <f t="shared" si="0"/>
        <v>-</v>
      </c>
      <c r="I67" s="78"/>
    </row>
    <row r="68" spans="1:9" ht="26.25" customHeight="1" x14ac:dyDescent="0.4">
      <c r="A68" s="119" t="s">
        <v>68</v>
      </c>
      <c r="B68" s="197">
        <f>(B67/B66)*(B65/B64)*(B63/B62)*(B61/B60)*B59</f>
        <v>5000</v>
      </c>
      <c r="C68" s="179" t="s">
        <v>69</v>
      </c>
      <c r="D68" s="180">
        <v>1077.29</v>
      </c>
      <c r="E68" s="181">
        <v>1</v>
      </c>
      <c r="F68" s="182">
        <v>465285</v>
      </c>
      <c r="G68" s="183">
        <f>IF(ISBLANK(F68),"-",(F68/$D$50*$D$47*$B$68)*($B$57/$D$68))</f>
        <v>157.13482196002141</v>
      </c>
      <c r="H68" s="189">
        <f t="shared" si="0"/>
        <v>98.209263725013386</v>
      </c>
      <c r="I68" s="78"/>
    </row>
    <row r="69" spans="1:9" ht="27" customHeight="1" x14ac:dyDescent="0.4">
      <c r="A69" s="170" t="s">
        <v>70</v>
      </c>
      <c r="B69" s="198">
        <f>(D47*B68)/B56*B57</f>
        <v>1082.2739999999999</v>
      </c>
      <c r="C69" s="185"/>
      <c r="D69" s="186"/>
      <c r="E69" s="187">
        <v>2</v>
      </c>
      <c r="F69" s="132">
        <v>471366</v>
      </c>
      <c r="G69" s="188">
        <f>IF(ISBLANK(F69),"-",(F69/$D$50*$D$47*$B$68)*($B$57/$D$68))</f>
        <v>159.1884812276507</v>
      </c>
      <c r="H69" s="189">
        <f t="shared" si="0"/>
        <v>99.492800767281693</v>
      </c>
      <c r="I69" s="78"/>
    </row>
    <row r="70" spans="1:9" ht="26.25" customHeight="1" x14ac:dyDescent="0.4">
      <c r="A70" s="199" t="s">
        <v>51</v>
      </c>
      <c r="B70" s="200"/>
      <c r="C70" s="185"/>
      <c r="D70" s="186"/>
      <c r="E70" s="187">
        <v>3</v>
      </c>
      <c r="F70" s="132">
        <v>466552</v>
      </c>
      <c r="G70" s="188">
        <f>IF(ISBLANK(F70),"-",(F70/$D$50*$D$47*$B$68)*($B$57/$D$68))</f>
        <v>157.56270985544754</v>
      </c>
      <c r="H70" s="189">
        <f t="shared" si="0"/>
        <v>98.476693659654714</v>
      </c>
      <c r="I70" s="78"/>
    </row>
    <row r="71" spans="1:9" ht="27" customHeight="1" x14ac:dyDescent="0.4">
      <c r="A71" s="201"/>
      <c r="B71" s="202"/>
      <c r="C71" s="203"/>
      <c r="D71" s="192"/>
      <c r="E71" s="193">
        <v>4</v>
      </c>
      <c r="F71" s="194"/>
      <c r="G71" s="195" t="str">
        <f>IF(ISBLANK(F71),"-",(F71/$D$50*$D$47*$B$68)*($B$57/$D$68))</f>
        <v>-</v>
      </c>
      <c r="H71" s="196" t="str">
        <f t="shared" si="0"/>
        <v>-</v>
      </c>
      <c r="I71" s="78"/>
    </row>
    <row r="72" spans="1:9" ht="26.25" customHeight="1" x14ac:dyDescent="0.4">
      <c r="A72" s="150"/>
      <c r="B72" s="150"/>
      <c r="C72" s="150"/>
      <c r="D72" s="150"/>
      <c r="E72" s="150"/>
      <c r="F72" s="204" t="s">
        <v>46</v>
      </c>
      <c r="G72" s="205">
        <f>AVERAGE(G60:G71)</f>
        <v>160.21589934083988</v>
      </c>
      <c r="H72" s="206">
        <f>AVERAGE(H60:H71)</f>
        <v>100.13493708802491</v>
      </c>
      <c r="I72" s="78"/>
    </row>
    <row r="73" spans="1:9" ht="26.25" customHeight="1" x14ac:dyDescent="0.4">
      <c r="A73" s="78"/>
      <c r="B73" s="78"/>
      <c r="C73" s="150"/>
      <c r="D73" s="150"/>
      <c r="E73" s="150"/>
      <c r="F73" s="207" t="s">
        <v>57</v>
      </c>
      <c r="G73" s="208">
        <f>STDEV(G60:G71)/G72</f>
        <v>1.1774699706533652E-2</v>
      </c>
      <c r="H73" s="208">
        <f>STDEV(H60:H71)/H72</f>
        <v>1.1774699706533635E-2</v>
      </c>
      <c r="I73" s="78"/>
    </row>
    <row r="74" spans="1:9" ht="27" customHeight="1" x14ac:dyDescent="0.4">
      <c r="A74" s="150"/>
      <c r="B74" s="150"/>
      <c r="C74" s="150"/>
      <c r="D74" s="150"/>
      <c r="E74" s="152"/>
      <c r="F74" s="209" t="s">
        <v>6</v>
      </c>
      <c r="G74" s="210">
        <f>COUNT(G60:G71)</f>
        <v>9</v>
      </c>
      <c r="H74" s="210">
        <f>COUNT(H60:H71)</f>
        <v>9</v>
      </c>
      <c r="I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  <c r="I75" s="78"/>
    </row>
    <row r="76" spans="1:9" ht="26.25" customHeight="1" x14ac:dyDescent="0.4">
      <c r="A76" s="94" t="s">
        <v>71</v>
      </c>
      <c r="B76" s="95" t="s">
        <v>72</v>
      </c>
      <c r="C76" s="211" t="str">
        <f>B26</f>
        <v>Trimethoprim</v>
      </c>
      <c r="D76" s="211"/>
      <c r="E76" s="77" t="s">
        <v>73</v>
      </c>
      <c r="F76" s="77"/>
      <c r="G76" s="275">
        <f>H72</f>
        <v>100.13493708802491</v>
      </c>
      <c r="H76" s="104"/>
      <c r="I76" s="78"/>
    </row>
    <row r="77" spans="1:9" ht="18.75" x14ac:dyDescent="0.3">
      <c r="A77" s="93" t="s">
        <v>74</v>
      </c>
      <c r="B77" s="93" t="s">
        <v>75</v>
      </c>
      <c r="C77" s="78"/>
      <c r="D77" s="78"/>
      <c r="E77" s="78"/>
      <c r="F77" s="78"/>
      <c r="G77" s="78"/>
      <c r="H77" s="78"/>
      <c r="I77" s="78"/>
    </row>
    <row r="78" spans="1:9" ht="18.75" x14ac:dyDescent="0.3">
      <c r="A78" s="93"/>
      <c r="B78" s="93"/>
      <c r="C78" s="78"/>
      <c r="D78" s="78"/>
      <c r="E78" s="78"/>
      <c r="F78" s="78"/>
      <c r="G78" s="78"/>
      <c r="H78" s="78"/>
      <c r="I78" s="78"/>
    </row>
    <row r="79" spans="1:9" ht="26.25" customHeight="1" x14ac:dyDescent="0.4">
      <c r="A79" s="94" t="s">
        <v>1</v>
      </c>
      <c r="B79" s="213" t="str">
        <f>B26</f>
        <v>Trimethoprim</v>
      </c>
      <c r="C79" s="213"/>
      <c r="D79" s="78"/>
      <c r="E79" s="78"/>
      <c r="F79" s="78"/>
      <c r="G79" s="78"/>
      <c r="H79" s="78"/>
      <c r="I79" s="78"/>
    </row>
    <row r="80" spans="1:9" ht="26.25" customHeight="1" x14ac:dyDescent="0.4">
      <c r="A80" s="95" t="s">
        <v>29</v>
      </c>
      <c r="B80" s="213" t="str">
        <f>B27</f>
        <v>T7 4</v>
      </c>
      <c r="C80" s="213"/>
      <c r="D80" s="78"/>
      <c r="E80" s="78"/>
      <c r="F80" s="78"/>
      <c r="G80" s="78"/>
      <c r="H80" s="78"/>
      <c r="I80" s="78"/>
    </row>
    <row r="81" spans="1:12" ht="27" customHeight="1" x14ac:dyDescent="0.4">
      <c r="A81" s="95" t="s">
        <v>3</v>
      </c>
      <c r="B81" s="97">
        <f>B28</f>
        <v>99.3</v>
      </c>
      <c r="C81" s="78"/>
      <c r="D81" s="78"/>
      <c r="E81" s="78"/>
      <c r="F81" s="78"/>
      <c r="G81" s="78"/>
      <c r="H81" s="78"/>
      <c r="I81" s="78"/>
    </row>
    <row r="82" spans="1:12" s="2" customFormat="1" ht="27" customHeight="1" x14ac:dyDescent="0.4">
      <c r="A82" s="95" t="s">
        <v>30</v>
      </c>
      <c r="B82" s="98">
        <v>0.35</v>
      </c>
      <c r="C82" s="99" t="s">
        <v>31</v>
      </c>
      <c r="D82" s="100"/>
      <c r="E82" s="100"/>
      <c r="F82" s="100"/>
      <c r="G82" s="101"/>
      <c r="H82" s="102"/>
      <c r="I82" s="103"/>
      <c r="J82" s="4"/>
      <c r="K82" s="4"/>
      <c r="L82" s="4"/>
    </row>
    <row r="83" spans="1:12" s="2" customFormat="1" ht="19.5" customHeight="1" x14ac:dyDescent="0.3">
      <c r="A83" s="95" t="s">
        <v>32</v>
      </c>
      <c r="B83" s="104">
        <f>B81-B82</f>
        <v>98.95</v>
      </c>
      <c r="C83" s="105"/>
      <c r="D83" s="105"/>
      <c r="E83" s="105"/>
      <c r="F83" s="105"/>
      <c r="G83" s="106"/>
      <c r="H83" s="102"/>
      <c r="I83" s="103"/>
      <c r="J83" s="4"/>
      <c r="K83" s="4"/>
      <c r="L83" s="4"/>
    </row>
    <row r="84" spans="1:12" s="2" customFormat="1" ht="27" customHeight="1" x14ac:dyDescent="0.4">
      <c r="A84" s="95" t="s">
        <v>33</v>
      </c>
      <c r="B84" s="107">
        <v>1</v>
      </c>
      <c r="C84" s="108" t="s">
        <v>76</v>
      </c>
      <c r="D84" s="109"/>
      <c r="E84" s="109"/>
      <c r="F84" s="109"/>
      <c r="G84" s="109"/>
      <c r="H84" s="110"/>
      <c r="I84" s="103"/>
      <c r="J84" s="4"/>
      <c r="K84" s="4"/>
      <c r="L84" s="4"/>
    </row>
    <row r="85" spans="1:12" s="2" customFormat="1" ht="27" customHeight="1" x14ac:dyDescent="0.4">
      <c r="A85" s="95" t="s">
        <v>35</v>
      </c>
      <c r="B85" s="107">
        <v>1</v>
      </c>
      <c r="C85" s="108" t="s">
        <v>77</v>
      </c>
      <c r="D85" s="109"/>
      <c r="E85" s="109"/>
      <c r="F85" s="109"/>
      <c r="G85" s="109"/>
      <c r="H85" s="110"/>
      <c r="I85" s="103"/>
      <c r="J85" s="4"/>
      <c r="K85" s="4"/>
      <c r="L85" s="4"/>
    </row>
    <row r="86" spans="1:12" s="2" customFormat="1" ht="18.75" x14ac:dyDescent="0.3">
      <c r="A86" s="95"/>
      <c r="B86" s="111"/>
      <c r="C86" s="112"/>
      <c r="D86" s="112"/>
      <c r="E86" s="112"/>
      <c r="F86" s="112"/>
      <c r="G86" s="112"/>
      <c r="H86" s="112"/>
      <c r="I86" s="103"/>
      <c r="J86" s="4"/>
      <c r="K86" s="4"/>
      <c r="L86" s="4"/>
    </row>
    <row r="87" spans="1:12" s="2" customFormat="1" ht="18.75" x14ac:dyDescent="0.3">
      <c r="A87" s="95" t="s">
        <v>37</v>
      </c>
      <c r="B87" s="113">
        <f>B84/B85</f>
        <v>1</v>
      </c>
      <c r="C87" s="77" t="s">
        <v>38</v>
      </c>
      <c r="D87" s="77"/>
      <c r="E87" s="77"/>
      <c r="F87" s="77"/>
      <c r="G87" s="77"/>
      <c r="H87" s="102"/>
      <c r="I87" s="103"/>
      <c r="J87" s="4"/>
      <c r="K87" s="4"/>
      <c r="L87" s="4"/>
    </row>
    <row r="88" spans="1:12" ht="19.5" customHeight="1" x14ac:dyDescent="0.3">
      <c r="A88" s="93"/>
      <c r="B88" s="93"/>
      <c r="C88" s="78"/>
      <c r="D88" s="78"/>
      <c r="E88" s="78"/>
      <c r="F88" s="78"/>
      <c r="G88" s="78"/>
      <c r="H88" s="78"/>
      <c r="I88" s="78"/>
    </row>
    <row r="89" spans="1:12" ht="27" customHeight="1" x14ac:dyDescent="0.4">
      <c r="A89" s="114" t="s">
        <v>39</v>
      </c>
      <c r="B89" s="115">
        <v>20</v>
      </c>
      <c r="C89" s="78"/>
      <c r="D89" s="214" t="s">
        <v>40</v>
      </c>
      <c r="E89" s="215"/>
      <c r="F89" s="116" t="s">
        <v>41</v>
      </c>
      <c r="G89" s="118"/>
      <c r="H89" s="78"/>
      <c r="I89" s="78"/>
    </row>
    <row r="90" spans="1:12" ht="27" customHeight="1" x14ac:dyDescent="0.4">
      <c r="A90" s="119" t="s">
        <v>102</v>
      </c>
      <c r="B90" s="120">
        <v>4</v>
      </c>
      <c r="C90" s="216" t="s">
        <v>42</v>
      </c>
      <c r="D90" s="122" t="s">
        <v>43</v>
      </c>
      <c r="E90" s="123" t="s">
        <v>44</v>
      </c>
      <c r="F90" s="122" t="s">
        <v>43</v>
      </c>
      <c r="G90" s="217" t="s">
        <v>44</v>
      </c>
      <c r="H90" s="78"/>
      <c r="I90" s="125" t="s">
        <v>45</v>
      </c>
    </row>
    <row r="91" spans="1:12" ht="26.25" customHeight="1" x14ac:dyDescent="0.4">
      <c r="A91" s="119" t="s">
        <v>103</v>
      </c>
      <c r="B91" s="120">
        <v>100</v>
      </c>
      <c r="C91" s="218">
        <v>1</v>
      </c>
      <c r="D91" s="127">
        <v>463592</v>
      </c>
      <c r="E91" s="128">
        <f>IF(ISBLANK(D91),"-",$D$101/$D$98*D91)</f>
        <v>536668.23525598401</v>
      </c>
      <c r="F91" s="127">
        <v>493449</v>
      </c>
      <c r="G91" s="129">
        <f>IF(ISBLANK(F91),"-",$D$101/$F$98*F91)</f>
        <v>522115.11010883225</v>
      </c>
      <c r="H91" s="78"/>
      <c r="I91" s="130"/>
    </row>
    <row r="92" spans="1:12" ht="26.25" customHeight="1" x14ac:dyDescent="0.4">
      <c r="A92" s="119" t="s">
        <v>104</v>
      </c>
      <c r="B92" s="120">
        <v>1</v>
      </c>
      <c r="C92" s="150">
        <v>2</v>
      </c>
      <c r="D92" s="132">
        <v>461226</v>
      </c>
      <c r="E92" s="133">
        <f>IF(ISBLANK(D92),"-",$D$101/$D$98*D92)</f>
        <v>533929.28151084681</v>
      </c>
      <c r="F92" s="132">
        <v>494400</v>
      </c>
      <c r="G92" s="134">
        <f>IF(ISBLANK(F92),"-",$D$101/$F$98*F92)</f>
        <v>523121.35689363373</v>
      </c>
      <c r="H92" s="78"/>
      <c r="I92" s="135">
        <f>ABS((F96/D96*D95)-F95)/D95</f>
        <v>2.5681311034455988E-2</v>
      </c>
    </row>
    <row r="93" spans="1:12" ht="26.25" customHeight="1" x14ac:dyDescent="0.4">
      <c r="A93" s="119" t="s">
        <v>105</v>
      </c>
      <c r="B93" s="120">
        <v>1</v>
      </c>
      <c r="C93" s="150">
        <v>3</v>
      </c>
      <c r="D93" s="132">
        <v>461961</v>
      </c>
      <c r="E93" s="133">
        <f>IF(ISBLANK(D93),"-",$D$101/$D$98*D93)</f>
        <v>534780.13992279768</v>
      </c>
      <c r="F93" s="132">
        <v>493773</v>
      </c>
      <c r="G93" s="134">
        <f>IF(ISBLANK(F93),"-",$D$101/$F$98*F93)</f>
        <v>522457.93235728197</v>
      </c>
      <c r="H93" s="78"/>
      <c r="I93" s="135"/>
    </row>
    <row r="94" spans="1:12" ht="27" customHeight="1" x14ac:dyDescent="0.4">
      <c r="A94" s="119" t="s">
        <v>106</v>
      </c>
      <c r="B94" s="120">
        <v>1</v>
      </c>
      <c r="C94" s="219">
        <v>4</v>
      </c>
      <c r="D94" s="137"/>
      <c r="E94" s="138" t="str">
        <f>IF(ISBLANK(D94),"-",$D$101/$D$98*D94)</f>
        <v>-</v>
      </c>
      <c r="F94" s="137"/>
      <c r="G94" s="139" t="str">
        <f>IF(ISBLANK(F94),"-",$D$101/$F$98*F94)</f>
        <v>-</v>
      </c>
      <c r="H94" s="78"/>
      <c r="I94" s="140"/>
    </row>
    <row r="95" spans="1:12" ht="27" customHeight="1" x14ac:dyDescent="0.4">
      <c r="A95" s="119" t="s">
        <v>107</v>
      </c>
      <c r="B95" s="120">
        <v>1</v>
      </c>
      <c r="C95" s="95" t="s">
        <v>46</v>
      </c>
      <c r="D95" s="220">
        <f>AVERAGE(D91:D94)</f>
        <v>462259.66666666669</v>
      </c>
      <c r="E95" s="143">
        <f>AVERAGE(E91:E94)</f>
        <v>535125.88556320954</v>
      </c>
      <c r="F95" s="221">
        <f>AVERAGE(F91:F94)</f>
        <v>493874</v>
      </c>
      <c r="G95" s="222">
        <f>AVERAGE(G91:G94)</f>
        <v>522564.79978658265</v>
      </c>
      <c r="H95" s="78"/>
      <c r="I95" s="78"/>
    </row>
    <row r="96" spans="1:12" ht="26.25" customHeight="1" x14ac:dyDescent="0.4">
      <c r="A96" s="119" t="s">
        <v>108</v>
      </c>
      <c r="B96" s="97">
        <v>1</v>
      </c>
      <c r="C96" s="223" t="s">
        <v>78</v>
      </c>
      <c r="D96" s="224">
        <f>D43</f>
        <v>15.52</v>
      </c>
      <c r="E96" s="77"/>
      <c r="F96" s="147">
        <f>F43</f>
        <v>16.98</v>
      </c>
      <c r="G96" s="78"/>
      <c r="H96" s="78"/>
      <c r="I96" s="78"/>
    </row>
    <row r="97" spans="1:10" ht="26.25" customHeight="1" x14ac:dyDescent="0.4">
      <c r="A97" s="119" t="s">
        <v>109</v>
      </c>
      <c r="B97" s="97">
        <v>1</v>
      </c>
      <c r="C97" s="225" t="s">
        <v>79</v>
      </c>
      <c r="D97" s="226">
        <f>D96*$B$87</f>
        <v>15.52</v>
      </c>
      <c r="E97" s="150"/>
      <c r="F97" s="149">
        <f>F96*$B$87</f>
        <v>16.98</v>
      </c>
      <c r="G97" s="78"/>
      <c r="H97" s="78"/>
      <c r="I97" s="78"/>
    </row>
    <row r="98" spans="1:10" ht="19.5" customHeight="1" x14ac:dyDescent="0.3">
      <c r="A98" s="119" t="s">
        <v>49</v>
      </c>
      <c r="B98" s="150">
        <f>(B97/B96)*(B95/B94)*(B93/B92)*(B91/B90)*B89</f>
        <v>500</v>
      </c>
      <c r="C98" s="225" t="s">
        <v>80</v>
      </c>
      <c r="D98" s="227">
        <f>D97*$B$83/100</f>
        <v>15.35704</v>
      </c>
      <c r="E98" s="152"/>
      <c r="F98" s="151">
        <f>F97*$B$83/100</f>
        <v>16.80171</v>
      </c>
      <c r="G98" s="78"/>
      <c r="H98" s="78"/>
      <c r="I98" s="78"/>
    </row>
    <row r="99" spans="1:10" ht="19.5" customHeight="1" x14ac:dyDescent="0.3">
      <c r="A99" s="153" t="s">
        <v>51</v>
      </c>
      <c r="B99" s="228"/>
      <c r="C99" s="225" t="s">
        <v>81</v>
      </c>
      <c r="D99" s="229">
        <f>D98/$B$98</f>
        <v>3.0714079999999998E-2</v>
      </c>
      <c r="E99" s="152"/>
      <c r="F99" s="157">
        <f>F98/$B$98</f>
        <v>3.3603420000000002E-2</v>
      </c>
      <c r="G99" s="78"/>
      <c r="H99" s="145"/>
      <c r="I99" s="78"/>
    </row>
    <row r="100" spans="1:10" ht="19.5" customHeight="1" x14ac:dyDescent="0.3">
      <c r="A100" s="158"/>
      <c r="B100" s="230"/>
      <c r="C100" s="225" t="s">
        <v>53</v>
      </c>
      <c r="D100" s="231">
        <f>$B$56/$B$116</f>
        <v>3.5555555555555556E-2</v>
      </c>
      <c r="E100" s="78"/>
      <c r="F100" s="164"/>
      <c r="G100" s="232"/>
      <c r="H100" s="145"/>
      <c r="I100" s="78"/>
    </row>
    <row r="101" spans="1:10" ht="18.75" x14ac:dyDescent="0.3">
      <c r="A101" s="78"/>
      <c r="B101" s="78"/>
      <c r="C101" s="225" t="s">
        <v>54</v>
      </c>
      <c r="D101" s="226">
        <f>D100*$B$98</f>
        <v>17.777777777777779</v>
      </c>
      <c r="E101" s="78"/>
      <c r="F101" s="164"/>
      <c r="G101" s="78"/>
      <c r="H101" s="145"/>
      <c r="I101" s="78"/>
    </row>
    <row r="102" spans="1:10" ht="19.5" customHeight="1" x14ac:dyDescent="0.3">
      <c r="A102" s="78"/>
      <c r="B102" s="78"/>
      <c r="C102" s="233" t="s">
        <v>55</v>
      </c>
      <c r="D102" s="234">
        <f>D101/B34</f>
        <v>17.777777777777779</v>
      </c>
      <c r="E102" s="78"/>
      <c r="F102" s="168"/>
      <c r="G102" s="78"/>
      <c r="H102" s="145"/>
      <c r="I102" s="78"/>
      <c r="J102" s="11"/>
    </row>
    <row r="103" spans="1:10" ht="18.75" x14ac:dyDescent="0.3">
      <c r="A103" s="78"/>
      <c r="B103" s="78"/>
      <c r="C103" s="235" t="s">
        <v>82</v>
      </c>
      <c r="D103" s="236">
        <f>AVERAGE(E91:E94,G91:G94)</f>
        <v>528845.342674896</v>
      </c>
      <c r="E103" s="78"/>
      <c r="F103" s="168"/>
      <c r="G103" s="232"/>
      <c r="H103" s="145"/>
      <c r="I103" s="78"/>
      <c r="J103" s="12"/>
    </row>
    <row r="104" spans="1:10" ht="18.75" x14ac:dyDescent="0.3">
      <c r="A104" s="78"/>
      <c r="B104" s="78"/>
      <c r="C104" s="207" t="s">
        <v>57</v>
      </c>
      <c r="D104" s="237">
        <f>STDEV(E91:E94,G91:G94)/D103</f>
        <v>1.3131290026618841E-2</v>
      </c>
      <c r="E104" s="78"/>
      <c r="F104" s="168"/>
      <c r="G104" s="78"/>
      <c r="H104" s="145"/>
      <c r="I104" s="78"/>
      <c r="J104" s="12"/>
    </row>
    <row r="105" spans="1:10" ht="19.5" customHeight="1" x14ac:dyDescent="0.3">
      <c r="A105" s="78"/>
      <c r="B105" s="78"/>
      <c r="C105" s="209" t="s">
        <v>6</v>
      </c>
      <c r="D105" s="238">
        <f>COUNT(E91:E94,G91:G94)</f>
        <v>6</v>
      </c>
      <c r="E105" s="78"/>
      <c r="F105" s="168"/>
      <c r="G105" s="78"/>
      <c r="H105" s="145"/>
      <c r="I105" s="78"/>
      <c r="J105" s="12"/>
    </row>
    <row r="106" spans="1:10" ht="19.5" customHeight="1" x14ac:dyDescent="0.3">
      <c r="A106" s="172"/>
      <c r="B106" s="172"/>
      <c r="C106" s="172"/>
      <c r="D106" s="172"/>
      <c r="E106" s="172"/>
      <c r="F106" s="78"/>
      <c r="G106" s="78"/>
      <c r="H106" s="78"/>
      <c r="I106" s="78"/>
    </row>
    <row r="107" spans="1:10" ht="27" customHeight="1" x14ac:dyDescent="0.4">
      <c r="A107" s="114" t="s">
        <v>83</v>
      </c>
      <c r="B107" s="115">
        <v>900</v>
      </c>
      <c r="C107" s="178" t="s">
        <v>84</v>
      </c>
      <c r="D107" s="178" t="s">
        <v>43</v>
      </c>
      <c r="E107" s="178" t="s">
        <v>85</v>
      </c>
      <c r="F107" s="239" t="s">
        <v>86</v>
      </c>
      <c r="G107" s="78"/>
      <c r="H107" s="78"/>
      <c r="I107" s="78"/>
    </row>
    <row r="108" spans="1:10" ht="26.25" customHeight="1" x14ac:dyDescent="0.4">
      <c r="A108" s="119" t="s">
        <v>118</v>
      </c>
      <c r="B108" s="120">
        <v>5</v>
      </c>
      <c r="C108" s="181">
        <v>1</v>
      </c>
      <c r="D108" s="240">
        <v>529658</v>
      </c>
      <c r="E108" s="241">
        <f t="shared" ref="E108:E113" si="1">IF(ISBLANK(D108),"-",D108/$D$103*$D$100*$B$116)</f>
        <v>160.24586615693536</v>
      </c>
      <c r="F108" s="242">
        <f t="shared" ref="F108:F113" si="2">IF(ISBLANK(D108), "-", (E108/$B$56)*100)</f>
        <v>100.1536663480846</v>
      </c>
      <c r="G108" s="78"/>
      <c r="H108" s="78"/>
      <c r="I108" s="78"/>
    </row>
    <row r="109" spans="1:10" ht="26.25" customHeight="1" x14ac:dyDescent="0.4">
      <c r="A109" s="119" t="s">
        <v>111</v>
      </c>
      <c r="B109" s="120">
        <v>25</v>
      </c>
      <c r="C109" s="187">
        <v>2</v>
      </c>
      <c r="D109" s="243">
        <v>529701</v>
      </c>
      <c r="E109" s="244">
        <f t="shared" si="1"/>
        <v>160.25887563143542</v>
      </c>
      <c r="F109" s="245">
        <f t="shared" si="2"/>
        <v>100.16179726964714</v>
      </c>
      <c r="G109" s="78"/>
      <c r="H109" s="78"/>
      <c r="I109" s="78"/>
    </row>
    <row r="110" spans="1:10" ht="26.25" customHeight="1" x14ac:dyDescent="0.4">
      <c r="A110" s="119" t="s">
        <v>112</v>
      </c>
      <c r="B110" s="120">
        <v>1</v>
      </c>
      <c r="C110" s="187">
        <v>3</v>
      </c>
      <c r="D110" s="243">
        <v>529147</v>
      </c>
      <c r="E110" s="244">
        <f t="shared" si="1"/>
        <v>160.09126519252777</v>
      </c>
      <c r="F110" s="245">
        <f t="shared" si="2"/>
        <v>100.05704074532986</v>
      </c>
      <c r="G110" s="78"/>
      <c r="H110" s="78"/>
      <c r="I110" s="78"/>
    </row>
    <row r="111" spans="1:10" ht="26.25" customHeight="1" x14ac:dyDescent="0.4">
      <c r="A111" s="119" t="s">
        <v>113</v>
      </c>
      <c r="B111" s="120">
        <v>1</v>
      </c>
      <c r="C111" s="187">
        <v>4</v>
      </c>
      <c r="D111" s="243">
        <v>529955</v>
      </c>
      <c r="E111" s="244">
        <f t="shared" si="1"/>
        <v>160.3357222947613</v>
      </c>
      <c r="F111" s="245">
        <f t="shared" si="2"/>
        <v>100.2098264342258</v>
      </c>
      <c r="G111" s="78"/>
      <c r="H111" s="78"/>
      <c r="I111" s="78"/>
    </row>
    <row r="112" spans="1:10" ht="26.25" customHeight="1" x14ac:dyDescent="0.4">
      <c r="A112" s="119" t="s">
        <v>114</v>
      </c>
      <c r="B112" s="120">
        <v>1</v>
      </c>
      <c r="C112" s="187">
        <v>5</v>
      </c>
      <c r="D112" s="243">
        <v>530060</v>
      </c>
      <c r="E112" s="244">
        <f t="shared" si="1"/>
        <v>160.36748961621493</v>
      </c>
      <c r="F112" s="245">
        <f t="shared" si="2"/>
        <v>100.22968101013431</v>
      </c>
      <c r="G112" s="78"/>
      <c r="H112" s="78"/>
      <c r="I112" s="78"/>
    </row>
    <row r="113" spans="1:10" ht="27" customHeight="1" x14ac:dyDescent="0.4">
      <c r="A113" s="119" t="s">
        <v>115</v>
      </c>
      <c r="B113" s="120">
        <v>1</v>
      </c>
      <c r="C113" s="193">
        <v>6</v>
      </c>
      <c r="D113" s="246">
        <v>529341</v>
      </c>
      <c r="E113" s="247">
        <f t="shared" si="1"/>
        <v>160.14995910073728</v>
      </c>
      <c r="F113" s="248">
        <f t="shared" si="2"/>
        <v>100.0937244379608</v>
      </c>
      <c r="G113" s="78"/>
      <c r="H113" s="78"/>
      <c r="I113" s="78"/>
    </row>
    <row r="114" spans="1:10" ht="27" customHeight="1" x14ac:dyDescent="0.4">
      <c r="A114" s="119" t="s">
        <v>116</v>
      </c>
      <c r="B114" s="120">
        <v>1</v>
      </c>
      <c r="C114" s="249"/>
      <c r="D114" s="150"/>
      <c r="E114" s="77"/>
      <c r="F114" s="245"/>
      <c r="G114" s="78"/>
      <c r="H114" s="78"/>
      <c r="I114" s="78"/>
    </row>
    <row r="115" spans="1:10" ht="26.25" customHeight="1" x14ac:dyDescent="0.4">
      <c r="A115" s="119" t="s">
        <v>117</v>
      </c>
      <c r="B115" s="120">
        <v>1</v>
      </c>
      <c r="C115" s="249"/>
      <c r="D115" s="250" t="s">
        <v>46</v>
      </c>
      <c r="E115" s="251">
        <f>AVERAGE(E108:E113)</f>
        <v>160.24152966543534</v>
      </c>
      <c r="F115" s="252">
        <f>AVERAGE(F108:F113)</f>
        <v>100.15095604089709</v>
      </c>
      <c r="G115" s="78"/>
      <c r="H115" s="78"/>
      <c r="I115" s="78"/>
    </row>
    <row r="116" spans="1:10" ht="27" customHeight="1" x14ac:dyDescent="0.4">
      <c r="A116" s="119" t="s">
        <v>68</v>
      </c>
      <c r="B116" s="131">
        <f>(B115/B114)*(B113/B112)*(B111/B110)*(B109/B108)*B107</f>
        <v>4500</v>
      </c>
      <c r="C116" s="253"/>
      <c r="D116" s="254" t="s">
        <v>57</v>
      </c>
      <c r="E116" s="208">
        <f>STDEV(E108:E113)/E115</f>
        <v>6.6057309510948834E-4</v>
      </c>
      <c r="F116" s="255">
        <f>STDEV(F108:F113)/F115</f>
        <v>6.6057309510943662E-4</v>
      </c>
      <c r="G116" s="78"/>
      <c r="H116" s="78"/>
      <c r="I116" s="77"/>
    </row>
    <row r="117" spans="1:10" ht="27" customHeight="1" x14ac:dyDescent="0.4">
      <c r="A117" s="153" t="s">
        <v>51</v>
      </c>
      <c r="B117" s="154"/>
      <c r="C117" s="256"/>
      <c r="D117" s="209" t="s">
        <v>6</v>
      </c>
      <c r="E117" s="257">
        <f>COUNT(E108:E113)</f>
        <v>6</v>
      </c>
      <c r="F117" s="258">
        <f>COUNT(F108:F113)</f>
        <v>6</v>
      </c>
      <c r="G117" s="78"/>
      <c r="H117" s="78"/>
      <c r="I117" s="77"/>
      <c r="J117" s="12"/>
    </row>
    <row r="118" spans="1:10" ht="26.25" customHeight="1" x14ac:dyDescent="0.3">
      <c r="A118" s="158"/>
      <c r="B118" s="159"/>
      <c r="C118" s="77"/>
      <c r="D118" s="259"/>
      <c r="E118" s="260" t="s">
        <v>87</v>
      </c>
      <c r="F118" s="261"/>
      <c r="G118" s="77"/>
      <c r="H118" s="77"/>
      <c r="I118" s="77"/>
    </row>
    <row r="119" spans="1:10" ht="25.5" customHeight="1" x14ac:dyDescent="0.4">
      <c r="A119" s="262"/>
      <c r="B119" s="112"/>
      <c r="C119" s="77"/>
      <c r="D119" s="254" t="s">
        <v>88</v>
      </c>
      <c r="E119" s="263">
        <f>MIN(E108:E113)</f>
        <v>160.09126519252777</v>
      </c>
      <c r="F119" s="264">
        <f>MIN(F108:F113)</f>
        <v>100.05704074532986</v>
      </c>
      <c r="G119" s="77"/>
      <c r="H119" s="77"/>
      <c r="I119" s="77"/>
    </row>
    <row r="120" spans="1:10" ht="24" customHeight="1" x14ac:dyDescent="0.4">
      <c r="A120" s="262"/>
      <c r="B120" s="112"/>
      <c r="C120" s="77"/>
      <c r="D120" s="165" t="s">
        <v>89</v>
      </c>
      <c r="E120" s="265">
        <f>MAX(E108:E113)</f>
        <v>160.36748961621493</v>
      </c>
      <c r="F120" s="266">
        <f>MAX(F108:F113)</f>
        <v>100.22968101013431</v>
      </c>
      <c r="G120" s="77"/>
      <c r="H120" s="77"/>
      <c r="I120" s="77"/>
    </row>
    <row r="121" spans="1:10" ht="27" customHeight="1" x14ac:dyDescent="0.3">
      <c r="A121" s="262"/>
      <c r="B121" s="112"/>
      <c r="C121" s="77"/>
      <c r="D121" s="77"/>
      <c r="E121" s="77"/>
      <c r="F121" s="150"/>
      <c r="G121" s="77"/>
      <c r="H121" s="77"/>
      <c r="I121" s="77"/>
    </row>
    <row r="122" spans="1:10" ht="25.5" customHeight="1" x14ac:dyDescent="0.3">
      <c r="A122" s="262"/>
      <c r="B122" s="112"/>
      <c r="C122" s="77"/>
      <c r="D122" s="77"/>
      <c r="E122" s="77"/>
      <c r="F122" s="150"/>
      <c r="G122" s="77"/>
      <c r="H122" s="77"/>
      <c r="I122" s="77"/>
    </row>
    <row r="123" spans="1:10" ht="18.75" x14ac:dyDescent="0.3">
      <c r="A123" s="262"/>
      <c r="B123" s="112"/>
      <c r="C123" s="77"/>
      <c r="D123" s="77"/>
      <c r="E123" s="77"/>
      <c r="F123" s="150"/>
      <c r="G123" s="77"/>
      <c r="H123" s="77"/>
      <c r="I123" s="77"/>
    </row>
    <row r="124" spans="1:10" ht="45.75" customHeight="1" x14ac:dyDescent="0.65">
      <c r="A124" s="94" t="s">
        <v>71</v>
      </c>
      <c r="B124" s="95" t="s">
        <v>90</v>
      </c>
      <c r="C124" s="211" t="str">
        <f>B26</f>
        <v>Trimethoprim</v>
      </c>
      <c r="D124" s="211"/>
      <c r="E124" s="77" t="s">
        <v>91</v>
      </c>
      <c r="F124" s="77"/>
      <c r="G124" s="267">
        <f>F115</f>
        <v>100.15095604089709</v>
      </c>
      <c r="H124" s="77"/>
      <c r="I124" s="77"/>
    </row>
    <row r="125" spans="1:10" ht="45.75" customHeight="1" x14ac:dyDescent="0.65">
      <c r="A125" s="94"/>
      <c r="B125" s="95" t="s">
        <v>92</v>
      </c>
      <c r="C125" s="95" t="s">
        <v>93</v>
      </c>
      <c r="D125" s="276">
        <f>MIN(F108:F113)</f>
        <v>100.05704074532986</v>
      </c>
      <c r="E125" s="95" t="s">
        <v>94</v>
      </c>
      <c r="F125" s="276">
        <f>MAX(F108:F113)</f>
        <v>100.22968101013431</v>
      </c>
      <c r="G125" s="212"/>
      <c r="H125" s="77"/>
      <c r="I125" s="77"/>
    </row>
    <row r="126" spans="1:10" ht="19.5" customHeight="1" x14ac:dyDescent="0.3">
      <c r="A126" s="268"/>
      <c r="B126" s="268"/>
      <c r="C126" s="269"/>
      <c r="D126" s="269"/>
      <c r="E126" s="269"/>
      <c r="F126" s="269"/>
      <c r="G126" s="269"/>
      <c r="H126" s="269"/>
      <c r="I126" s="78"/>
    </row>
    <row r="127" spans="1:10" ht="18.75" x14ac:dyDescent="0.3">
      <c r="A127" s="78"/>
      <c r="B127" s="270" t="s">
        <v>7</v>
      </c>
      <c r="C127" s="270"/>
      <c r="D127" s="78"/>
      <c r="E127" s="216" t="s">
        <v>8</v>
      </c>
      <c r="F127" s="271"/>
      <c r="G127" s="270" t="s">
        <v>9</v>
      </c>
      <c r="H127" s="270"/>
      <c r="I127" s="78"/>
    </row>
    <row r="128" spans="1:10" ht="69.95" customHeight="1" x14ac:dyDescent="0.3">
      <c r="A128" s="94" t="s">
        <v>10</v>
      </c>
      <c r="B128" s="272"/>
      <c r="C128" s="272"/>
      <c r="D128" s="78"/>
      <c r="E128" s="272"/>
      <c r="F128" s="77"/>
      <c r="G128" s="272"/>
      <c r="H128" s="272"/>
      <c r="I128" s="78"/>
    </row>
    <row r="129" spans="1:9" ht="69.95" customHeight="1" x14ac:dyDescent="0.3">
      <c r="A129" s="94" t="s">
        <v>11</v>
      </c>
      <c r="B129" s="273"/>
      <c r="C129" s="273"/>
      <c r="D129" s="78"/>
      <c r="E129" s="273"/>
      <c r="F129" s="77"/>
      <c r="G129" s="274"/>
      <c r="H129" s="274"/>
      <c r="I129" s="78"/>
    </row>
    <row r="130" spans="1:9" ht="18.75" x14ac:dyDescent="0.3">
      <c r="A130" s="150"/>
      <c r="B130" s="150"/>
      <c r="C130" s="150"/>
      <c r="D130" s="150"/>
      <c r="E130" s="150"/>
      <c r="F130" s="152"/>
      <c r="G130" s="150"/>
      <c r="H130" s="150"/>
      <c r="I130" s="77"/>
    </row>
    <row r="131" spans="1:9" ht="18.75" x14ac:dyDescent="0.3">
      <c r="A131" s="8"/>
      <c r="B131" s="8"/>
      <c r="C131" s="9"/>
      <c r="D131" s="9"/>
      <c r="E131" s="9"/>
      <c r="F131" s="10"/>
      <c r="G131" s="9"/>
      <c r="H131" s="9"/>
      <c r="I131" s="3"/>
    </row>
    <row r="132" spans="1:9" ht="18.75" x14ac:dyDescent="0.3">
      <c r="A132" s="8"/>
      <c r="B132" s="8"/>
      <c r="C132" s="9"/>
      <c r="D132" s="9"/>
      <c r="E132" s="9"/>
      <c r="F132" s="10"/>
      <c r="G132" s="9"/>
      <c r="H132" s="9"/>
      <c r="I132" s="3"/>
    </row>
    <row r="133" spans="1:9" ht="18.75" x14ac:dyDescent="0.3">
      <c r="A133" s="8"/>
      <c r="B133" s="8"/>
      <c r="C133" s="9"/>
      <c r="D133" s="9"/>
      <c r="E133" s="9"/>
      <c r="F133" s="10"/>
      <c r="G133" s="9"/>
      <c r="H133" s="9"/>
      <c r="I133" s="3"/>
    </row>
    <row r="134" spans="1:9" ht="18.75" x14ac:dyDescent="0.3">
      <c r="A134" s="8"/>
      <c r="B134" s="8"/>
      <c r="C134" s="9"/>
      <c r="D134" s="9"/>
      <c r="E134" s="9"/>
      <c r="F134" s="10"/>
      <c r="G134" s="9"/>
      <c r="H134" s="9"/>
      <c r="I134" s="3"/>
    </row>
    <row r="135" spans="1:9" ht="18.75" x14ac:dyDescent="0.3">
      <c r="A135" s="8"/>
      <c r="B135" s="8"/>
      <c r="C135" s="9"/>
      <c r="D135" s="9"/>
      <c r="E135" s="9"/>
      <c r="F135" s="10"/>
      <c r="G135" s="9"/>
      <c r="H135" s="9"/>
      <c r="I135" s="3"/>
    </row>
    <row r="136" spans="1:9" ht="18.75" x14ac:dyDescent="0.3">
      <c r="A136" s="8"/>
      <c r="B136" s="8"/>
      <c r="C136" s="9"/>
      <c r="D136" s="9"/>
      <c r="E136" s="9"/>
      <c r="F136" s="10"/>
      <c r="G136" s="9"/>
      <c r="H136" s="9"/>
      <c r="I136" s="3"/>
    </row>
    <row r="137" spans="1:9" ht="18.75" x14ac:dyDescent="0.3">
      <c r="A137" s="8"/>
      <c r="B137" s="8"/>
      <c r="C137" s="9"/>
      <c r="D137" s="9"/>
      <c r="E137" s="9"/>
      <c r="F137" s="10"/>
      <c r="G137" s="9"/>
      <c r="H137" s="9"/>
      <c r="I137" s="3"/>
    </row>
    <row r="138" spans="1:9" ht="18.75" x14ac:dyDescent="0.3">
      <c r="A138" s="8"/>
      <c r="B138" s="8"/>
      <c r="C138" s="9"/>
      <c r="D138" s="9"/>
      <c r="E138" s="9"/>
      <c r="F138" s="10"/>
      <c r="G138" s="9"/>
      <c r="H138" s="9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250"/>
  <sheetViews>
    <sheetView tabSelected="1" view="pageLayout" topLeftCell="A67" zoomScale="55" zoomScaleNormal="40" zoomScalePageLayoutView="55" workbookViewId="0">
      <selection activeCell="G79" sqref="G79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75" t="s">
        <v>26</v>
      </c>
      <c r="B1" s="75"/>
      <c r="C1" s="75"/>
      <c r="D1" s="75"/>
      <c r="E1" s="75"/>
      <c r="F1" s="75"/>
      <c r="G1" s="75"/>
      <c r="H1" s="75"/>
      <c r="I1" s="75"/>
    </row>
    <row r="2" spans="1:9" ht="18.75" customHeight="1" x14ac:dyDescent="0.25">
      <c r="A2" s="75"/>
      <c r="B2" s="75"/>
      <c r="C2" s="75"/>
      <c r="D2" s="75"/>
      <c r="E2" s="75"/>
      <c r="F2" s="75"/>
      <c r="G2" s="75"/>
      <c r="H2" s="75"/>
      <c r="I2" s="75"/>
    </row>
    <row r="3" spans="1:9" ht="18.75" customHeight="1" x14ac:dyDescent="0.25">
      <c r="A3" s="75"/>
      <c r="B3" s="75"/>
      <c r="C3" s="75"/>
      <c r="D3" s="75"/>
      <c r="E3" s="75"/>
      <c r="F3" s="75"/>
      <c r="G3" s="75"/>
      <c r="H3" s="75"/>
      <c r="I3" s="75"/>
    </row>
    <row r="4" spans="1:9" ht="18.75" customHeight="1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8.75" customHeight="1" x14ac:dyDescent="0.25">
      <c r="A5" s="75"/>
      <c r="B5" s="75"/>
      <c r="C5" s="75"/>
      <c r="D5" s="75"/>
      <c r="E5" s="75"/>
      <c r="F5" s="75"/>
      <c r="G5" s="75"/>
      <c r="H5" s="75"/>
      <c r="I5" s="75"/>
    </row>
    <row r="6" spans="1:9" ht="18.75" customHeight="1" x14ac:dyDescent="0.25">
      <c r="A6" s="75"/>
      <c r="B6" s="75"/>
      <c r="C6" s="75"/>
      <c r="D6" s="75"/>
      <c r="E6" s="75"/>
      <c r="F6" s="75"/>
      <c r="G6" s="75"/>
      <c r="H6" s="75"/>
      <c r="I6" s="75"/>
    </row>
    <row r="7" spans="1:9" ht="18.75" customHeight="1" x14ac:dyDescent="0.25">
      <c r="A7" s="75"/>
      <c r="B7" s="75"/>
      <c r="C7" s="75"/>
      <c r="D7" s="75"/>
      <c r="E7" s="75"/>
      <c r="F7" s="75"/>
      <c r="G7" s="75"/>
      <c r="H7" s="75"/>
      <c r="I7" s="75"/>
    </row>
    <row r="8" spans="1:9" x14ac:dyDescent="0.25">
      <c r="A8" s="76" t="s">
        <v>27</v>
      </c>
      <c r="B8" s="76"/>
      <c r="C8" s="76"/>
      <c r="D8" s="76"/>
      <c r="E8" s="76"/>
      <c r="F8" s="76"/>
      <c r="G8" s="76"/>
      <c r="H8" s="76"/>
      <c r="I8" s="76"/>
    </row>
    <row r="9" spans="1:9" x14ac:dyDescent="0.25">
      <c r="A9" s="76"/>
      <c r="B9" s="76"/>
      <c r="C9" s="76"/>
      <c r="D9" s="76"/>
      <c r="E9" s="76"/>
      <c r="F9" s="76"/>
      <c r="G9" s="76"/>
      <c r="H9" s="76"/>
      <c r="I9" s="76"/>
    </row>
    <row r="10" spans="1:9" x14ac:dyDescent="0.25">
      <c r="A10" s="76"/>
      <c r="B10" s="76"/>
      <c r="C10" s="76"/>
      <c r="D10" s="76"/>
      <c r="E10" s="76"/>
      <c r="F10" s="76"/>
      <c r="G10" s="76"/>
      <c r="H10" s="76"/>
      <c r="I10" s="76"/>
    </row>
    <row r="11" spans="1:9" x14ac:dyDescent="0.25">
      <c r="A11" s="76"/>
      <c r="B11" s="76"/>
      <c r="C11" s="76"/>
      <c r="D11" s="76"/>
      <c r="E11" s="76"/>
      <c r="F11" s="76"/>
      <c r="G11" s="76"/>
      <c r="H11" s="76"/>
      <c r="I11" s="76"/>
    </row>
    <row r="12" spans="1:9" x14ac:dyDescent="0.25">
      <c r="A12" s="76"/>
      <c r="B12" s="76"/>
      <c r="C12" s="76"/>
      <c r="D12" s="76"/>
      <c r="E12" s="76"/>
      <c r="F12" s="76"/>
      <c r="G12" s="76"/>
      <c r="H12" s="76"/>
      <c r="I12" s="76"/>
    </row>
    <row r="13" spans="1:9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x14ac:dyDescent="0.25">
      <c r="A14" s="76"/>
      <c r="B14" s="76"/>
      <c r="C14" s="76"/>
      <c r="D14" s="76"/>
      <c r="E14" s="76"/>
      <c r="F14" s="76"/>
      <c r="G14" s="76"/>
      <c r="H14" s="76"/>
      <c r="I14" s="76"/>
    </row>
    <row r="15" spans="1:9" ht="19.5" customHeight="1" x14ac:dyDescent="0.3">
      <c r="A15" s="77"/>
      <c r="B15" s="78"/>
      <c r="C15" s="78"/>
      <c r="D15" s="78"/>
      <c r="E15" s="78"/>
      <c r="F15" s="78"/>
      <c r="G15" s="78"/>
      <c r="H15" s="78"/>
      <c r="I15" s="78"/>
    </row>
    <row r="16" spans="1:9" ht="19.5" customHeight="1" x14ac:dyDescent="0.3">
      <c r="A16" s="79" t="s">
        <v>12</v>
      </c>
      <c r="B16" s="80"/>
      <c r="C16" s="80"/>
      <c r="D16" s="80"/>
      <c r="E16" s="80"/>
      <c r="F16" s="80"/>
      <c r="G16" s="80"/>
      <c r="H16" s="81"/>
      <c r="I16" s="78"/>
    </row>
    <row r="17" spans="1:14" ht="20.25" customHeight="1" x14ac:dyDescent="0.25">
      <c r="A17" s="82" t="s">
        <v>28</v>
      </c>
      <c r="B17" s="82"/>
      <c r="C17" s="82"/>
      <c r="D17" s="82"/>
      <c r="E17" s="82"/>
      <c r="F17" s="82"/>
      <c r="G17" s="82"/>
      <c r="H17" s="82"/>
      <c r="I17" s="78"/>
    </row>
    <row r="18" spans="1:14" ht="26.25" customHeight="1" x14ac:dyDescent="0.4">
      <c r="A18" s="83" t="s">
        <v>14</v>
      </c>
      <c r="B18" s="84" t="s">
        <v>2</v>
      </c>
      <c r="C18" s="84"/>
      <c r="D18" s="85"/>
      <c r="E18" s="86"/>
      <c r="F18" s="87"/>
      <c r="G18" s="87"/>
      <c r="H18" s="87"/>
      <c r="I18" s="78"/>
    </row>
    <row r="19" spans="1:14" ht="26.25" customHeight="1" x14ac:dyDescent="0.4">
      <c r="A19" s="83" t="s">
        <v>15</v>
      </c>
      <c r="B19" s="88" t="str">
        <f>trimethoprim!B19</f>
        <v>NDQB201701331</v>
      </c>
      <c r="C19" s="87">
        <v>1</v>
      </c>
      <c r="D19" s="87"/>
      <c r="E19" s="87"/>
      <c r="F19" s="87"/>
      <c r="G19" s="87"/>
      <c r="H19" s="87"/>
      <c r="I19" s="78"/>
    </row>
    <row r="20" spans="1:14" ht="26.25" customHeight="1" x14ac:dyDescent="0.4">
      <c r="A20" s="83" t="s">
        <v>16</v>
      </c>
      <c r="B20" s="89" t="s">
        <v>4</v>
      </c>
      <c r="C20" s="89"/>
      <c r="D20" s="87"/>
      <c r="E20" s="87"/>
      <c r="F20" s="87"/>
      <c r="G20" s="87"/>
      <c r="H20" s="87"/>
      <c r="I20" s="78"/>
    </row>
    <row r="21" spans="1:14" ht="26.25" customHeight="1" x14ac:dyDescent="0.4">
      <c r="A21" s="83" t="s">
        <v>17</v>
      </c>
      <c r="B21" s="89" t="s">
        <v>5</v>
      </c>
      <c r="C21" s="89"/>
      <c r="D21" s="89"/>
      <c r="E21" s="89"/>
      <c r="F21" s="89"/>
      <c r="G21" s="89"/>
      <c r="H21" s="89"/>
      <c r="I21" s="90"/>
    </row>
    <row r="22" spans="1:14" ht="26.25" customHeight="1" x14ac:dyDescent="0.4">
      <c r="A22" s="83" t="s">
        <v>18</v>
      </c>
      <c r="B22" s="91">
        <v>42761</v>
      </c>
      <c r="C22" s="87"/>
      <c r="D22" s="87"/>
      <c r="E22" s="87"/>
      <c r="F22" s="87"/>
      <c r="G22" s="87"/>
      <c r="H22" s="87"/>
      <c r="I22" s="78"/>
    </row>
    <row r="23" spans="1:14" ht="26.25" customHeight="1" x14ac:dyDescent="0.4">
      <c r="A23" s="83" t="s">
        <v>19</v>
      </c>
      <c r="B23" s="91">
        <v>42762</v>
      </c>
      <c r="C23" s="87"/>
      <c r="D23" s="87"/>
      <c r="E23" s="87"/>
      <c r="F23" s="87"/>
      <c r="G23" s="87"/>
      <c r="H23" s="87"/>
      <c r="I23" s="78"/>
    </row>
    <row r="24" spans="1:14" ht="18.75" x14ac:dyDescent="0.3">
      <c r="A24" s="83"/>
      <c r="B24" s="92"/>
      <c r="C24" s="78"/>
      <c r="D24" s="78"/>
      <c r="E24" s="78"/>
      <c r="F24" s="78"/>
      <c r="G24" s="78"/>
      <c r="H24" s="78"/>
      <c r="I24" s="78"/>
    </row>
    <row r="25" spans="1:14" ht="18.75" x14ac:dyDescent="0.3">
      <c r="A25" s="93" t="s">
        <v>0</v>
      </c>
      <c r="B25" s="92"/>
      <c r="C25" s="78"/>
      <c r="D25" s="78"/>
      <c r="E25" s="78"/>
      <c r="F25" s="78"/>
      <c r="G25" s="78"/>
      <c r="H25" s="78"/>
      <c r="I25" s="78"/>
    </row>
    <row r="26" spans="1:14" ht="26.25" customHeight="1" x14ac:dyDescent="0.4">
      <c r="A26" s="94" t="s">
        <v>1</v>
      </c>
      <c r="B26" s="84" t="s">
        <v>97</v>
      </c>
      <c r="C26" s="84"/>
      <c r="D26" s="78"/>
      <c r="E26" s="78"/>
      <c r="F26" s="78"/>
      <c r="G26" s="78"/>
      <c r="H26" s="78"/>
      <c r="I26" s="78"/>
    </row>
    <row r="27" spans="1:14" ht="26.25" customHeight="1" x14ac:dyDescent="0.55000000000000004">
      <c r="A27" s="95" t="s">
        <v>29</v>
      </c>
      <c r="B27" s="96" t="s">
        <v>119</v>
      </c>
      <c r="C27" s="96"/>
      <c r="D27" s="78"/>
      <c r="E27" s="78"/>
      <c r="F27" s="78"/>
      <c r="G27" s="78"/>
      <c r="H27" s="78"/>
      <c r="I27" s="78"/>
    </row>
    <row r="28" spans="1:14" ht="27" customHeight="1" x14ac:dyDescent="0.4">
      <c r="A28" s="95" t="s">
        <v>3</v>
      </c>
      <c r="B28" s="97">
        <v>99.28</v>
      </c>
      <c r="C28" s="78"/>
      <c r="D28" s="78"/>
      <c r="E28" s="78"/>
      <c r="F28" s="78"/>
      <c r="G28" s="78"/>
      <c r="H28" s="78"/>
      <c r="I28" s="78"/>
    </row>
    <row r="29" spans="1:14" s="2" customFormat="1" ht="27" customHeight="1" x14ac:dyDescent="0.4">
      <c r="A29" s="95" t="s">
        <v>30</v>
      </c>
      <c r="B29" s="98">
        <v>0.26</v>
      </c>
      <c r="C29" s="99" t="s">
        <v>31</v>
      </c>
      <c r="D29" s="100"/>
      <c r="E29" s="100"/>
      <c r="F29" s="100"/>
      <c r="G29" s="101"/>
      <c r="H29" s="102"/>
      <c r="I29" s="103"/>
      <c r="J29" s="14"/>
      <c r="K29" s="14"/>
      <c r="L29" s="14"/>
    </row>
    <row r="30" spans="1:14" s="2" customFormat="1" ht="19.5" customHeight="1" x14ac:dyDescent="0.3">
      <c r="A30" s="95" t="s">
        <v>32</v>
      </c>
      <c r="B30" s="104">
        <f>B28-B29</f>
        <v>99.02</v>
      </c>
      <c r="C30" s="105"/>
      <c r="D30" s="105"/>
      <c r="E30" s="105"/>
      <c r="F30" s="105"/>
      <c r="G30" s="106"/>
      <c r="H30" s="102"/>
      <c r="I30" s="103"/>
      <c r="J30" s="14"/>
      <c r="K30" s="14"/>
      <c r="L30" s="14"/>
    </row>
    <row r="31" spans="1:14" s="2" customFormat="1" ht="27" customHeight="1" x14ac:dyDescent="0.4">
      <c r="A31" s="95" t="s">
        <v>33</v>
      </c>
      <c r="B31" s="107">
        <v>1</v>
      </c>
      <c r="C31" s="108" t="s">
        <v>34</v>
      </c>
      <c r="D31" s="109"/>
      <c r="E31" s="109"/>
      <c r="F31" s="109"/>
      <c r="G31" s="109"/>
      <c r="H31" s="110"/>
      <c r="I31" s="103"/>
      <c r="J31" s="14"/>
      <c r="K31" s="14"/>
      <c r="L31" s="14"/>
    </row>
    <row r="32" spans="1:14" s="2" customFormat="1" ht="27" customHeight="1" x14ac:dyDescent="0.4">
      <c r="A32" s="95" t="s">
        <v>35</v>
      </c>
      <c r="B32" s="107">
        <v>1</v>
      </c>
      <c r="C32" s="108" t="s">
        <v>36</v>
      </c>
      <c r="D32" s="109"/>
      <c r="E32" s="109"/>
      <c r="F32" s="109"/>
      <c r="G32" s="109"/>
      <c r="H32" s="110"/>
      <c r="I32" s="103"/>
      <c r="J32" s="14"/>
      <c r="K32" s="14"/>
      <c r="L32" s="15"/>
      <c r="M32" s="15"/>
      <c r="N32" s="16"/>
    </row>
    <row r="33" spans="1:14" s="2" customFormat="1" ht="17.25" customHeight="1" x14ac:dyDescent="0.3">
      <c r="A33" s="95"/>
      <c r="B33" s="111"/>
      <c r="C33" s="112"/>
      <c r="D33" s="112"/>
      <c r="E33" s="112"/>
      <c r="F33" s="112"/>
      <c r="G33" s="112"/>
      <c r="H33" s="112"/>
      <c r="I33" s="103"/>
      <c r="J33" s="14"/>
      <c r="K33" s="14"/>
      <c r="L33" s="15"/>
      <c r="M33" s="15"/>
      <c r="N33" s="16"/>
    </row>
    <row r="34" spans="1:14" s="2" customFormat="1" ht="18.75" x14ac:dyDescent="0.3">
      <c r="A34" s="95" t="s">
        <v>37</v>
      </c>
      <c r="B34" s="113">
        <f>B31/B32</f>
        <v>1</v>
      </c>
      <c r="C34" s="77" t="s">
        <v>38</v>
      </c>
      <c r="D34" s="77"/>
      <c r="E34" s="77"/>
      <c r="F34" s="77"/>
      <c r="G34" s="77"/>
      <c r="H34" s="102"/>
      <c r="I34" s="103"/>
      <c r="J34" s="14"/>
      <c r="K34" s="14"/>
      <c r="L34" s="15"/>
      <c r="M34" s="15"/>
      <c r="N34" s="16"/>
    </row>
    <row r="35" spans="1:14" s="2" customFormat="1" ht="19.5" customHeight="1" x14ac:dyDescent="0.3">
      <c r="A35" s="95"/>
      <c r="B35" s="104"/>
      <c r="C35" s="102"/>
      <c r="D35" s="102"/>
      <c r="E35" s="102"/>
      <c r="F35" s="102"/>
      <c r="G35" s="77"/>
      <c r="H35" s="102"/>
      <c r="I35" s="103"/>
      <c r="J35" s="14"/>
      <c r="K35" s="14"/>
      <c r="L35" s="15"/>
      <c r="M35" s="15"/>
      <c r="N35" s="16"/>
    </row>
    <row r="36" spans="1:14" s="2" customFormat="1" ht="27" customHeight="1" x14ac:dyDescent="0.4">
      <c r="A36" s="114" t="s">
        <v>39</v>
      </c>
      <c r="B36" s="115">
        <v>100</v>
      </c>
      <c r="C36" s="77"/>
      <c r="D36" s="116" t="s">
        <v>40</v>
      </c>
      <c r="E36" s="117"/>
      <c r="F36" s="116" t="s">
        <v>41</v>
      </c>
      <c r="G36" s="118"/>
      <c r="H36" s="102"/>
      <c r="I36" s="102"/>
      <c r="J36" s="14"/>
      <c r="K36" s="14"/>
      <c r="L36" s="15"/>
      <c r="M36" s="15"/>
      <c r="N36" s="16"/>
    </row>
    <row r="37" spans="1:14" s="2" customFormat="1" ht="27" customHeight="1" x14ac:dyDescent="0.4">
      <c r="A37" s="119" t="s">
        <v>102</v>
      </c>
      <c r="B37" s="120">
        <v>1</v>
      </c>
      <c r="C37" s="121" t="s">
        <v>42</v>
      </c>
      <c r="D37" s="122" t="s">
        <v>43</v>
      </c>
      <c r="E37" s="123" t="s">
        <v>44</v>
      </c>
      <c r="F37" s="122" t="s">
        <v>43</v>
      </c>
      <c r="G37" s="124" t="s">
        <v>44</v>
      </c>
      <c r="H37" s="102"/>
      <c r="I37" s="125" t="s">
        <v>45</v>
      </c>
      <c r="J37" s="14"/>
      <c r="K37" s="14"/>
      <c r="L37" s="15"/>
      <c r="M37" s="15"/>
      <c r="N37" s="16"/>
    </row>
    <row r="38" spans="1:14" s="2" customFormat="1" ht="26.25" customHeight="1" x14ac:dyDescent="0.4">
      <c r="A38" s="119" t="s">
        <v>103</v>
      </c>
      <c r="B38" s="120">
        <v>1</v>
      </c>
      <c r="C38" s="126">
        <v>1</v>
      </c>
      <c r="D38" s="127">
        <v>5233427</v>
      </c>
      <c r="E38" s="128">
        <f>IF(ISBLANK(D38),"-",$D$48/$D$45*D38)</f>
        <v>5872469.0859310133</v>
      </c>
      <c r="F38" s="127">
        <v>6892109</v>
      </c>
      <c r="G38" s="129">
        <f>IF(ISBLANK(F38),"-",$D$48/$F$45*F38)</f>
        <v>5952171.1489864169</v>
      </c>
      <c r="H38" s="102"/>
      <c r="I38" s="130"/>
      <c r="J38" s="14"/>
      <c r="K38" s="14"/>
      <c r="L38" s="15"/>
      <c r="M38" s="15"/>
      <c r="N38" s="16"/>
    </row>
    <row r="39" spans="1:14" s="2" customFormat="1" ht="26.25" customHeight="1" x14ac:dyDescent="0.4">
      <c r="A39" s="119" t="s">
        <v>104</v>
      </c>
      <c r="B39" s="120">
        <v>1</v>
      </c>
      <c r="C39" s="131">
        <v>2</v>
      </c>
      <c r="D39" s="132">
        <v>5231083</v>
      </c>
      <c r="E39" s="133">
        <f>IF(ISBLANK(D39),"-",$D$48/$D$45*D39)</f>
        <v>5869838.8653246267</v>
      </c>
      <c r="F39" s="132">
        <v>6894967</v>
      </c>
      <c r="G39" s="134">
        <f>IF(ISBLANK(F39),"-",$D$48/$F$45*F39)</f>
        <v>5954639.3782532206</v>
      </c>
      <c r="H39" s="102"/>
      <c r="I39" s="135">
        <f>ABS((F43/D43*D42)-F42)/D42</f>
        <v>1.7041931457489754E-2</v>
      </c>
      <c r="J39" s="14"/>
      <c r="K39" s="14"/>
      <c r="L39" s="15"/>
      <c r="M39" s="15"/>
      <c r="N39" s="16"/>
    </row>
    <row r="40" spans="1:14" ht="26.25" customHeight="1" x14ac:dyDescent="0.4">
      <c r="A40" s="119" t="s">
        <v>105</v>
      </c>
      <c r="B40" s="120">
        <v>1</v>
      </c>
      <c r="C40" s="131">
        <v>3</v>
      </c>
      <c r="D40" s="132">
        <v>5239133</v>
      </c>
      <c r="E40" s="133">
        <f>IF(ISBLANK(D40),"-",$D$48/$D$45*D40)</f>
        <v>5878871.8328508278</v>
      </c>
      <c r="F40" s="132">
        <v>6884375</v>
      </c>
      <c r="G40" s="134">
        <f>IF(ISBLANK(F40),"-",$D$48/$F$45*F40)</f>
        <v>5945491.9029579135</v>
      </c>
      <c r="H40" s="78"/>
      <c r="I40" s="135"/>
      <c r="L40" s="15"/>
      <c r="M40" s="15"/>
      <c r="N40" s="17"/>
    </row>
    <row r="41" spans="1:14" ht="27" customHeight="1" x14ac:dyDescent="0.4">
      <c r="A41" s="119" t="s">
        <v>106</v>
      </c>
      <c r="B41" s="120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H41" s="78"/>
      <c r="I41" s="140"/>
      <c r="L41" s="15"/>
      <c r="M41" s="15"/>
      <c r="N41" s="17"/>
    </row>
    <row r="42" spans="1:14" ht="27" customHeight="1" x14ac:dyDescent="0.4">
      <c r="A42" s="119" t="s">
        <v>107</v>
      </c>
      <c r="B42" s="120">
        <v>1</v>
      </c>
      <c r="C42" s="141" t="s">
        <v>46</v>
      </c>
      <c r="D42" s="142">
        <f>AVERAGE(D38:D41)</f>
        <v>5234547.666666667</v>
      </c>
      <c r="E42" s="143">
        <f>AVERAGE(E38:E41)</f>
        <v>5873726.5947021553</v>
      </c>
      <c r="F42" s="142">
        <f>AVERAGE(F38:F41)</f>
        <v>6890483.666666667</v>
      </c>
      <c r="G42" s="144">
        <f>AVERAGE(G38:G41)</f>
        <v>5950767.4767325176</v>
      </c>
      <c r="H42" s="145"/>
      <c r="I42" s="78"/>
    </row>
    <row r="43" spans="1:14" ht="26.25" customHeight="1" x14ac:dyDescent="0.4">
      <c r="A43" s="119" t="s">
        <v>108</v>
      </c>
      <c r="B43" s="120">
        <v>1</v>
      </c>
      <c r="C43" s="146" t="s">
        <v>47</v>
      </c>
      <c r="D43" s="147">
        <v>14.4</v>
      </c>
      <c r="E43" s="77"/>
      <c r="F43" s="147">
        <v>18.71</v>
      </c>
      <c r="G43" s="78"/>
      <c r="H43" s="145"/>
      <c r="I43" s="78"/>
    </row>
    <row r="44" spans="1:14" ht="26.25" customHeight="1" x14ac:dyDescent="0.4">
      <c r="A44" s="119" t="s">
        <v>109</v>
      </c>
      <c r="B44" s="120">
        <v>1</v>
      </c>
      <c r="C44" s="148" t="s">
        <v>48</v>
      </c>
      <c r="D44" s="149">
        <f>D43*$B$34</f>
        <v>14.4</v>
      </c>
      <c r="E44" s="150"/>
      <c r="F44" s="149">
        <f>F43*$B$34</f>
        <v>18.71</v>
      </c>
      <c r="G44" s="78"/>
      <c r="H44" s="145"/>
      <c r="I44" s="78"/>
    </row>
    <row r="45" spans="1:14" ht="19.5" customHeight="1" x14ac:dyDescent="0.3">
      <c r="A45" s="119" t="s">
        <v>49</v>
      </c>
      <c r="B45" s="131">
        <f>(B44/B43)*(B42/B41)*(B40/B39)*(B38/B37)*B36</f>
        <v>100</v>
      </c>
      <c r="C45" s="148" t="s">
        <v>50</v>
      </c>
      <c r="D45" s="151">
        <f>D44*$B$30/100</f>
        <v>14.25888</v>
      </c>
      <c r="E45" s="152"/>
      <c r="F45" s="151">
        <f>F44*$B$30/100</f>
        <v>18.526641999999999</v>
      </c>
      <c r="G45" s="78"/>
      <c r="H45" s="145"/>
      <c r="I45" s="78"/>
    </row>
    <row r="46" spans="1:14" ht="19.5" customHeight="1" x14ac:dyDescent="0.3">
      <c r="A46" s="153" t="s">
        <v>51</v>
      </c>
      <c r="B46" s="154"/>
      <c r="C46" s="148" t="s">
        <v>52</v>
      </c>
      <c r="D46" s="155">
        <f>D45/$B$45</f>
        <v>0.14258879999999999</v>
      </c>
      <c r="E46" s="156"/>
      <c r="F46" s="157">
        <f>F45/$B$45</f>
        <v>0.18526641999999999</v>
      </c>
      <c r="G46" s="78"/>
      <c r="H46" s="145"/>
      <c r="I46" s="78"/>
    </row>
    <row r="47" spans="1:14" ht="27" customHeight="1" x14ac:dyDescent="0.4">
      <c r="A47" s="158"/>
      <c r="B47" s="159"/>
      <c r="C47" s="160" t="s">
        <v>53</v>
      </c>
      <c r="D47" s="161">
        <v>0.16</v>
      </c>
      <c r="E47" s="162"/>
      <c r="F47" s="156"/>
      <c r="G47" s="78"/>
      <c r="H47" s="145"/>
      <c r="I47" s="78"/>
    </row>
    <row r="48" spans="1:14" ht="18.75" x14ac:dyDescent="0.3">
      <c r="A48" s="78"/>
      <c r="B48" s="78"/>
      <c r="C48" s="163" t="s">
        <v>54</v>
      </c>
      <c r="D48" s="151">
        <f>D47*$B$45</f>
        <v>16</v>
      </c>
      <c r="E48" s="78"/>
      <c r="F48" s="164"/>
      <c r="G48" s="78"/>
      <c r="H48" s="145"/>
      <c r="I48" s="78"/>
    </row>
    <row r="49" spans="1:12" ht="19.5" customHeight="1" x14ac:dyDescent="0.3">
      <c r="A49" s="78"/>
      <c r="B49" s="78"/>
      <c r="C49" s="165" t="s">
        <v>55</v>
      </c>
      <c r="D49" s="166">
        <f>D48/B34</f>
        <v>16</v>
      </c>
      <c r="E49" s="78"/>
      <c r="F49" s="164"/>
      <c r="G49" s="78"/>
      <c r="H49" s="145"/>
      <c r="I49" s="78"/>
    </row>
    <row r="50" spans="1:12" ht="18.75" x14ac:dyDescent="0.3">
      <c r="A50" s="78"/>
      <c r="B50" s="78"/>
      <c r="C50" s="114" t="s">
        <v>56</v>
      </c>
      <c r="D50" s="167">
        <f>AVERAGE(E38:E41,G38:G41)</f>
        <v>5912247.0357173374</v>
      </c>
      <c r="E50" s="78"/>
      <c r="F50" s="168"/>
      <c r="G50" s="78"/>
      <c r="H50" s="145"/>
      <c r="I50" s="78"/>
    </row>
    <row r="51" spans="1:12" ht="18.75" x14ac:dyDescent="0.3">
      <c r="A51" s="78"/>
      <c r="B51" s="78"/>
      <c r="C51" s="119" t="s">
        <v>57</v>
      </c>
      <c r="D51" s="169">
        <f>STDEV(E38:E41,G38:G41)/D50</f>
        <v>7.1723954925897301E-3</v>
      </c>
      <c r="E51" s="78"/>
      <c r="F51" s="168"/>
      <c r="G51" s="78"/>
      <c r="H51" s="145"/>
      <c r="I51" s="78"/>
    </row>
    <row r="52" spans="1:12" ht="19.5" customHeight="1" x14ac:dyDescent="0.3">
      <c r="A52" s="78"/>
      <c r="B52" s="78"/>
      <c r="C52" s="170" t="s">
        <v>6</v>
      </c>
      <c r="D52" s="171">
        <f>COUNT(E38:E41,G38:G41)</f>
        <v>6</v>
      </c>
      <c r="E52" s="78"/>
      <c r="F52" s="168"/>
      <c r="G52" s="78"/>
      <c r="H52" s="78"/>
      <c r="I52" s="78"/>
    </row>
    <row r="53" spans="1:12" x14ac:dyDescent="0.25">
      <c r="A53" s="78"/>
      <c r="B53" s="78"/>
      <c r="C53" s="78"/>
      <c r="D53" s="78"/>
      <c r="E53" s="78"/>
      <c r="F53" s="78"/>
      <c r="G53" s="78"/>
      <c r="H53" s="78"/>
      <c r="I53" s="78"/>
    </row>
    <row r="54" spans="1:12" ht="18.75" x14ac:dyDescent="0.3">
      <c r="A54" s="172" t="s">
        <v>0</v>
      </c>
      <c r="B54" s="173" t="s">
        <v>58</v>
      </c>
      <c r="C54" s="78"/>
      <c r="D54" s="78"/>
      <c r="E54" s="78"/>
      <c r="F54" s="78"/>
      <c r="G54" s="78"/>
      <c r="H54" s="78"/>
      <c r="I54" s="78"/>
    </row>
    <row r="55" spans="1:12" ht="18.75" x14ac:dyDescent="0.3">
      <c r="A55" s="77" t="s">
        <v>59</v>
      </c>
      <c r="B55" s="174" t="str">
        <f>B21</f>
        <v>Each tablet contains Sulfamethoxazole 800 mg and Trimethoprim 160 mg</v>
      </c>
      <c r="C55" s="78"/>
      <c r="D55" s="78"/>
      <c r="E55" s="78"/>
      <c r="F55" s="78"/>
      <c r="G55" s="78"/>
      <c r="H55" s="78"/>
      <c r="I55" s="78"/>
    </row>
    <row r="56" spans="1:12" ht="26.25" customHeight="1" x14ac:dyDescent="0.4">
      <c r="A56" s="174" t="s">
        <v>60</v>
      </c>
      <c r="B56" s="175">
        <v>800</v>
      </c>
      <c r="C56" s="77" t="str">
        <f>B20</f>
        <v>Sulfamethoxazole BP 800 MG &amp; Trimethoprim BP 160 MG</v>
      </c>
      <c r="D56" s="78"/>
      <c r="E56" s="78"/>
      <c r="F56" s="78"/>
      <c r="G56" s="78"/>
      <c r="H56" s="150"/>
      <c r="I56" s="78"/>
    </row>
    <row r="57" spans="1:12" ht="18.75" x14ac:dyDescent="0.3">
      <c r="A57" s="174" t="s">
        <v>61</v>
      </c>
      <c r="B57" s="176">
        <f>trimethoprim!B57</f>
        <v>1082.2739999999999</v>
      </c>
      <c r="C57" s="78"/>
      <c r="D57" s="78"/>
      <c r="E57" s="78"/>
      <c r="F57" s="78"/>
      <c r="G57" s="78"/>
      <c r="H57" s="150"/>
      <c r="I57" s="78"/>
    </row>
    <row r="58" spans="1:12" ht="19.5" customHeight="1" x14ac:dyDescent="0.3">
      <c r="A58" s="78"/>
      <c r="B58" s="78"/>
      <c r="C58" s="78"/>
      <c r="D58" s="78"/>
      <c r="E58" s="78"/>
      <c r="F58" s="78"/>
      <c r="G58" s="78"/>
      <c r="H58" s="150"/>
      <c r="I58" s="78"/>
    </row>
    <row r="59" spans="1:12" s="2" customFormat="1" ht="27" customHeight="1" x14ac:dyDescent="0.4">
      <c r="A59" s="114" t="s">
        <v>62</v>
      </c>
      <c r="B59" s="115">
        <v>100</v>
      </c>
      <c r="C59" s="77"/>
      <c r="D59" s="177" t="s">
        <v>63</v>
      </c>
      <c r="E59" s="178" t="s">
        <v>42</v>
      </c>
      <c r="F59" s="178" t="s">
        <v>43</v>
      </c>
      <c r="G59" s="178" t="s">
        <v>64</v>
      </c>
      <c r="H59" s="121" t="s">
        <v>65</v>
      </c>
      <c r="I59" s="102"/>
      <c r="L59" s="14"/>
    </row>
    <row r="60" spans="1:12" s="2" customFormat="1" ht="26.25" customHeight="1" x14ac:dyDescent="0.4">
      <c r="A60" s="119" t="s">
        <v>110</v>
      </c>
      <c r="B60" s="120">
        <v>2</v>
      </c>
      <c r="C60" s="179" t="s">
        <v>66</v>
      </c>
      <c r="D60" s="180">
        <f>trimethoprim!D60</f>
        <v>1073.3800000000001</v>
      </c>
      <c r="E60" s="181">
        <v>1</v>
      </c>
      <c r="F60" s="182">
        <v>5663013</v>
      </c>
      <c r="G60" s="183">
        <f>IF(ISBLANK(F60),"-",(F60/$D$50*$D$47*$B$68)*($B$57/$D$60))</f>
        <v>772.62489885319951</v>
      </c>
      <c r="H60" s="184">
        <f t="shared" ref="H60:H71" si="0">IF(ISBLANK(F60),"-",(G60/$B$56)*100)</f>
        <v>96.578112356649939</v>
      </c>
      <c r="I60" s="102"/>
      <c r="L60" s="14"/>
    </row>
    <row r="61" spans="1:12" s="2" customFormat="1" ht="26.25" customHeight="1" x14ac:dyDescent="0.4">
      <c r="A61" s="119" t="s">
        <v>111</v>
      </c>
      <c r="B61" s="120">
        <v>100</v>
      </c>
      <c r="C61" s="185"/>
      <c r="D61" s="186"/>
      <c r="E61" s="187">
        <v>2</v>
      </c>
      <c r="F61" s="132">
        <v>5714015</v>
      </c>
      <c r="G61" s="188">
        <f>IF(ISBLANK(F61),"-",(F61/$D$50*$D$47*$B$68)*($B$57/$D$60))</f>
        <v>779.5832821539816</v>
      </c>
      <c r="H61" s="189">
        <f t="shared" si="0"/>
        <v>97.4479102692477</v>
      </c>
      <c r="I61" s="102"/>
      <c r="L61" s="14"/>
    </row>
    <row r="62" spans="1:12" s="2" customFormat="1" ht="26.25" customHeight="1" x14ac:dyDescent="0.4">
      <c r="A62" s="119" t="s">
        <v>112</v>
      </c>
      <c r="B62" s="120">
        <v>1</v>
      </c>
      <c r="C62" s="185"/>
      <c r="D62" s="186"/>
      <c r="E62" s="187">
        <v>3</v>
      </c>
      <c r="F62" s="190">
        <v>5731423</v>
      </c>
      <c r="G62" s="188">
        <f>IF(ISBLANK(F62),"-",(F62/$D$50*$D$47*$B$68)*($B$57/$D$60))</f>
        <v>781.95831718201975</v>
      </c>
      <c r="H62" s="189">
        <f t="shared" si="0"/>
        <v>97.744789647752469</v>
      </c>
      <c r="I62" s="102"/>
      <c r="L62" s="14"/>
    </row>
    <row r="63" spans="1:12" ht="27" customHeight="1" x14ac:dyDescent="0.4">
      <c r="A63" s="119" t="s">
        <v>113</v>
      </c>
      <c r="B63" s="120">
        <v>1</v>
      </c>
      <c r="C63" s="191"/>
      <c r="D63" s="192"/>
      <c r="E63" s="193">
        <v>4</v>
      </c>
      <c r="F63" s="194"/>
      <c r="G63" s="188" t="str">
        <f>IF(ISBLANK(F63),"-",(F63/$D$50*$D$47*$B$68)*($B$57/$D$60))</f>
        <v>-</v>
      </c>
      <c r="H63" s="189" t="str">
        <f t="shared" si="0"/>
        <v>-</v>
      </c>
      <c r="I63" s="78"/>
    </row>
    <row r="64" spans="1:12" ht="26.25" customHeight="1" x14ac:dyDescent="0.4">
      <c r="A64" s="119" t="s">
        <v>114</v>
      </c>
      <c r="B64" s="120">
        <v>1</v>
      </c>
      <c r="C64" s="179" t="s">
        <v>67</v>
      </c>
      <c r="D64" s="180">
        <f>trimethoprim!D64</f>
        <v>1077.9100000000001</v>
      </c>
      <c r="E64" s="181">
        <v>1</v>
      </c>
      <c r="F64" s="182">
        <v>5708779</v>
      </c>
      <c r="G64" s="183">
        <f>IF(ISBLANK(F64),"-",(F64/$D$50*$D$47*$B$68)*($B$57/$D$64))</f>
        <v>775.59565939317883</v>
      </c>
      <c r="H64" s="184">
        <f t="shared" si="0"/>
        <v>96.949457424147354</v>
      </c>
      <c r="I64" s="78"/>
    </row>
    <row r="65" spans="1:9" ht="26.25" customHeight="1" x14ac:dyDescent="0.4">
      <c r="A65" s="119" t="s">
        <v>115</v>
      </c>
      <c r="B65" s="120">
        <v>1</v>
      </c>
      <c r="C65" s="185"/>
      <c r="D65" s="186"/>
      <c r="E65" s="187">
        <v>2</v>
      </c>
      <c r="F65" s="132">
        <v>5771654</v>
      </c>
      <c r="G65" s="188">
        <f>IF(ISBLANK(F65),"-",(F65/$D$50*$D$47*$B$68)*($B$57/$D$64))</f>
        <v>784.13786729513936</v>
      </c>
      <c r="H65" s="189">
        <f t="shared" si="0"/>
        <v>98.01723341189242</v>
      </c>
      <c r="I65" s="78"/>
    </row>
    <row r="66" spans="1:9" ht="26.25" customHeight="1" x14ac:dyDescent="0.4">
      <c r="A66" s="119" t="s">
        <v>116</v>
      </c>
      <c r="B66" s="120">
        <v>1</v>
      </c>
      <c r="C66" s="185"/>
      <c r="D66" s="186"/>
      <c r="E66" s="187">
        <v>3</v>
      </c>
      <c r="F66" s="132">
        <v>5764264</v>
      </c>
      <c r="G66" s="188">
        <f>IF(ISBLANK(F66),"-",(F66/$D$50*$D$47*$B$68)*($B$57/$D$64))</f>
        <v>783.13386067254714</v>
      </c>
      <c r="H66" s="189">
        <f t="shared" si="0"/>
        <v>97.891732584068393</v>
      </c>
      <c r="I66" s="78"/>
    </row>
    <row r="67" spans="1:9" ht="27" customHeight="1" x14ac:dyDescent="0.4">
      <c r="A67" s="119" t="s">
        <v>117</v>
      </c>
      <c r="B67" s="120">
        <v>1</v>
      </c>
      <c r="C67" s="191"/>
      <c r="D67" s="192"/>
      <c r="E67" s="193">
        <v>4</v>
      </c>
      <c r="F67" s="194"/>
      <c r="G67" s="195" t="str">
        <f>IF(ISBLANK(F67),"-",(F67/$D$50*$D$47*$B$68)*($B$57/$D$64))</f>
        <v>-</v>
      </c>
      <c r="H67" s="196" t="str">
        <f t="shared" si="0"/>
        <v>-</v>
      </c>
      <c r="I67" s="78"/>
    </row>
    <row r="68" spans="1:9" ht="26.25" customHeight="1" x14ac:dyDescent="0.4">
      <c r="A68" s="119" t="s">
        <v>68</v>
      </c>
      <c r="B68" s="197">
        <f>(B67/B66)*(B65/B64)*(B63/B62)*(B61/B60)*B59</f>
        <v>5000</v>
      </c>
      <c r="C68" s="179" t="s">
        <v>69</v>
      </c>
      <c r="D68" s="180">
        <f>trimethoprim!D68</f>
        <v>1077.29</v>
      </c>
      <c r="E68" s="181">
        <v>1</v>
      </c>
      <c r="F68" s="182">
        <v>5614065</v>
      </c>
      <c r="G68" s="183">
        <f>IF(ISBLANK(F68),"-",(F68/$D$50*$D$47*$B$68)*($B$57/$D$68))</f>
        <v>763.16676341299046</v>
      </c>
      <c r="H68" s="189">
        <f t="shared" si="0"/>
        <v>95.395845426623808</v>
      </c>
      <c r="I68" s="78"/>
    </row>
    <row r="69" spans="1:9" ht="27" customHeight="1" x14ac:dyDescent="0.4">
      <c r="A69" s="170" t="s">
        <v>70</v>
      </c>
      <c r="B69" s="198">
        <f>(D47*B68)/B56*B57</f>
        <v>1082.2739999999999</v>
      </c>
      <c r="C69" s="185"/>
      <c r="D69" s="186"/>
      <c r="E69" s="187">
        <v>2</v>
      </c>
      <c r="F69" s="132">
        <v>5678078</v>
      </c>
      <c r="G69" s="188">
        <f>IF(ISBLANK(F69),"-",(F69/$D$50*$D$47*$B$68)*($B$57/$D$68))</f>
        <v>771.86858535954002</v>
      </c>
      <c r="H69" s="189">
        <f t="shared" si="0"/>
        <v>96.483573169942503</v>
      </c>
      <c r="I69" s="78"/>
    </row>
    <row r="70" spans="1:9" ht="26.25" customHeight="1" x14ac:dyDescent="0.4">
      <c r="A70" s="199" t="s">
        <v>51</v>
      </c>
      <c r="B70" s="200"/>
      <c r="C70" s="185"/>
      <c r="D70" s="186"/>
      <c r="E70" s="187">
        <v>3</v>
      </c>
      <c r="F70" s="132">
        <v>5670626</v>
      </c>
      <c r="G70" s="188">
        <f>IF(ISBLANK(F70),"-",(F70/$D$50*$D$47*$B$68)*($B$57/$D$68))</f>
        <v>770.855572734828</v>
      </c>
      <c r="H70" s="189">
        <f t="shared" si="0"/>
        <v>96.3569465918535</v>
      </c>
      <c r="I70" s="78"/>
    </row>
    <row r="71" spans="1:9" ht="27" customHeight="1" x14ac:dyDescent="0.4">
      <c r="A71" s="201"/>
      <c r="B71" s="202"/>
      <c r="C71" s="203"/>
      <c r="D71" s="192"/>
      <c r="E71" s="193">
        <v>4</v>
      </c>
      <c r="F71" s="194"/>
      <c r="G71" s="195" t="str">
        <f>IF(ISBLANK(F71),"-",(F71/$D$50*$D$47*$B$68)*($B$57/$D$68))</f>
        <v>-</v>
      </c>
      <c r="H71" s="196" t="str">
        <f t="shared" si="0"/>
        <v>-</v>
      </c>
      <c r="I71" s="78"/>
    </row>
    <row r="72" spans="1:9" ht="26.25" customHeight="1" x14ac:dyDescent="0.4">
      <c r="A72" s="150"/>
      <c r="B72" s="150"/>
      <c r="C72" s="150"/>
      <c r="D72" s="150"/>
      <c r="E72" s="150"/>
      <c r="F72" s="204" t="s">
        <v>46</v>
      </c>
      <c r="G72" s="205">
        <f>AVERAGE(G60:G71)</f>
        <v>775.88053411749161</v>
      </c>
      <c r="H72" s="206">
        <f>AVERAGE(H60:H71)</f>
        <v>96.985066764686451</v>
      </c>
      <c r="I72" s="78"/>
    </row>
    <row r="73" spans="1:9" ht="26.25" customHeight="1" x14ac:dyDescent="0.4">
      <c r="A73" s="78"/>
      <c r="B73" s="78"/>
      <c r="C73" s="150"/>
      <c r="D73" s="150"/>
      <c r="E73" s="150"/>
      <c r="F73" s="207" t="s">
        <v>57</v>
      </c>
      <c r="G73" s="208">
        <f>STDEV(G60:G71)/G72</f>
        <v>8.9423721247125759E-3</v>
      </c>
      <c r="H73" s="208">
        <f>STDEV(H60:H71)/H72</f>
        <v>8.9423721247125759E-3</v>
      </c>
      <c r="I73" s="78"/>
    </row>
    <row r="74" spans="1:9" ht="27" customHeight="1" x14ac:dyDescent="0.4">
      <c r="A74" s="150"/>
      <c r="B74" s="150"/>
      <c r="C74" s="150"/>
      <c r="D74" s="150"/>
      <c r="E74" s="152"/>
      <c r="F74" s="209" t="s">
        <v>6</v>
      </c>
      <c r="G74" s="210">
        <f>COUNT(G60:G71)</f>
        <v>9</v>
      </c>
      <c r="H74" s="210">
        <f>COUNT(H60:H71)</f>
        <v>9</v>
      </c>
      <c r="I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  <c r="I75" s="78"/>
    </row>
    <row r="76" spans="1:9" ht="26.25" customHeight="1" x14ac:dyDescent="0.4">
      <c r="A76" s="94" t="s">
        <v>71</v>
      </c>
      <c r="B76" s="95" t="s">
        <v>72</v>
      </c>
      <c r="C76" s="211" t="str">
        <f>B26</f>
        <v>Sulfamethoxazole</v>
      </c>
      <c r="D76" s="211"/>
      <c r="E76" s="77" t="s">
        <v>73</v>
      </c>
      <c r="F76" s="77"/>
      <c r="G76" s="275">
        <f>H72</f>
        <v>96.985066764686451</v>
      </c>
      <c r="H76" s="104"/>
      <c r="I76" s="78"/>
    </row>
    <row r="77" spans="1:9" ht="18.75" x14ac:dyDescent="0.3">
      <c r="A77" s="93" t="s">
        <v>74</v>
      </c>
      <c r="B77" s="93" t="s">
        <v>75</v>
      </c>
      <c r="C77" s="78"/>
      <c r="D77" s="78"/>
      <c r="E77" s="78"/>
      <c r="F77" s="78"/>
      <c r="G77" s="78"/>
      <c r="H77" s="78"/>
      <c r="I77" s="78"/>
    </row>
    <row r="78" spans="1:9" ht="18.75" x14ac:dyDescent="0.3">
      <c r="A78" s="93"/>
      <c r="B78" s="93"/>
      <c r="C78" s="78"/>
      <c r="D78" s="78"/>
      <c r="E78" s="78"/>
      <c r="F78" s="78"/>
      <c r="G78" s="78"/>
      <c r="H78" s="78"/>
      <c r="I78" s="78"/>
    </row>
    <row r="79" spans="1:9" ht="26.25" customHeight="1" x14ac:dyDescent="0.4">
      <c r="A79" s="94" t="s">
        <v>1</v>
      </c>
      <c r="B79" s="213" t="str">
        <f>B26</f>
        <v>Sulfamethoxazole</v>
      </c>
      <c r="C79" s="213"/>
      <c r="D79" s="78"/>
      <c r="E79" s="78"/>
      <c r="F79" s="78"/>
      <c r="G79" s="78"/>
      <c r="H79" s="78"/>
      <c r="I79" s="78"/>
    </row>
    <row r="80" spans="1:9" ht="26.25" customHeight="1" x14ac:dyDescent="0.4">
      <c r="A80" s="95" t="s">
        <v>29</v>
      </c>
      <c r="B80" s="213" t="str">
        <f>B27</f>
        <v>NQCL-WRS-S12-6</v>
      </c>
      <c r="C80" s="213"/>
      <c r="D80" s="78"/>
      <c r="E80" s="78"/>
      <c r="F80" s="78"/>
      <c r="G80" s="78"/>
      <c r="H80" s="78"/>
      <c r="I80" s="78"/>
    </row>
    <row r="81" spans="1:12" ht="27" customHeight="1" x14ac:dyDescent="0.4">
      <c r="A81" s="95" t="s">
        <v>3</v>
      </c>
      <c r="B81" s="97">
        <f>B28</f>
        <v>99.28</v>
      </c>
      <c r="C81" s="78"/>
      <c r="D81" s="78"/>
      <c r="E81" s="78"/>
      <c r="F81" s="78"/>
      <c r="G81" s="78"/>
      <c r="H81" s="78"/>
      <c r="I81" s="78"/>
    </row>
    <row r="82" spans="1:12" s="2" customFormat="1" ht="27" customHeight="1" x14ac:dyDescent="0.4">
      <c r="A82" s="95" t="s">
        <v>30</v>
      </c>
      <c r="B82" s="98">
        <v>0.26</v>
      </c>
      <c r="C82" s="99" t="s">
        <v>31</v>
      </c>
      <c r="D82" s="100"/>
      <c r="E82" s="100"/>
      <c r="F82" s="100"/>
      <c r="G82" s="101"/>
      <c r="H82" s="102"/>
      <c r="I82" s="103"/>
      <c r="J82" s="14"/>
      <c r="K82" s="14"/>
      <c r="L82" s="14"/>
    </row>
    <row r="83" spans="1:12" s="2" customFormat="1" ht="19.5" customHeight="1" x14ac:dyDescent="0.3">
      <c r="A83" s="95" t="s">
        <v>32</v>
      </c>
      <c r="B83" s="104">
        <f>B81-B82</f>
        <v>99.02</v>
      </c>
      <c r="C83" s="105"/>
      <c r="D83" s="105"/>
      <c r="E83" s="105"/>
      <c r="F83" s="105"/>
      <c r="G83" s="106"/>
      <c r="H83" s="102"/>
      <c r="I83" s="103"/>
      <c r="J83" s="14"/>
      <c r="K83" s="14"/>
      <c r="L83" s="14"/>
    </row>
    <row r="84" spans="1:12" s="2" customFormat="1" ht="27" customHeight="1" x14ac:dyDescent="0.4">
      <c r="A84" s="95" t="s">
        <v>33</v>
      </c>
      <c r="B84" s="107">
        <v>1</v>
      </c>
      <c r="C84" s="108" t="s">
        <v>76</v>
      </c>
      <c r="D84" s="109"/>
      <c r="E84" s="109"/>
      <c r="F84" s="109"/>
      <c r="G84" s="109"/>
      <c r="H84" s="110"/>
      <c r="I84" s="103"/>
      <c r="J84" s="14"/>
      <c r="K84" s="14"/>
      <c r="L84" s="14"/>
    </row>
    <row r="85" spans="1:12" s="2" customFormat="1" ht="27" customHeight="1" x14ac:dyDescent="0.4">
      <c r="A85" s="95" t="s">
        <v>35</v>
      </c>
      <c r="B85" s="107">
        <v>1</v>
      </c>
      <c r="C85" s="108" t="s">
        <v>77</v>
      </c>
      <c r="D85" s="109"/>
      <c r="E85" s="109"/>
      <c r="F85" s="109"/>
      <c r="G85" s="109"/>
      <c r="H85" s="110"/>
      <c r="I85" s="103"/>
      <c r="J85" s="14"/>
      <c r="K85" s="14"/>
      <c r="L85" s="14"/>
    </row>
    <row r="86" spans="1:12" s="2" customFormat="1" ht="18.75" x14ac:dyDescent="0.3">
      <c r="A86" s="95"/>
      <c r="B86" s="111"/>
      <c r="C86" s="112"/>
      <c r="D86" s="112"/>
      <c r="E86" s="112"/>
      <c r="F86" s="112"/>
      <c r="G86" s="112"/>
      <c r="H86" s="112"/>
      <c r="I86" s="103"/>
      <c r="J86" s="14"/>
      <c r="K86" s="14"/>
      <c r="L86" s="14"/>
    </row>
    <row r="87" spans="1:12" s="2" customFormat="1" ht="18.75" x14ac:dyDescent="0.3">
      <c r="A87" s="95" t="s">
        <v>37</v>
      </c>
      <c r="B87" s="113">
        <f>B84/B85</f>
        <v>1</v>
      </c>
      <c r="C87" s="77" t="s">
        <v>38</v>
      </c>
      <c r="D87" s="77"/>
      <c r="E87" s="77"/>
      <c r="F87" s="77"/>
      <c r="G87" s="77"/>
      <c r="H87" s="102"/>
      <c r="I87" s="103"/>
      <c r="J87" s="14"/>
      <c r="K87" s="14"/>
      <c r="L87" s="14"/>
    </row>
    <row r="88" spans="1:12" ht="19.5" customHeight="1" x14ac:dyDescent="0.3">
      <c r="A88" s="93"/>
      <c r="B88" s="93"/>
      <c r="C88" s="78"/>
      <c r="D88" s="78"/>
      <c r="E88" s="78"/>
      <c r="F88" s="78"/>
      <c r="G88" s="78"/>
      <c r="H88" s="78"/>
      <c r="I88" s="78"/>
    </row>
    <row r="89" spans="1:12" ht="27" customHeight="1" x14ac:dyDescent="0.4">
      <c r="A89" s="114" t="s">
        <v>39</v>
      </c>
      <c r="B89" s="115">
        <v>100</v>
      </c>
      <c r="C89" s="78"/>
      <c r="D89" s="214" t="s">
        <v>40</v>
      </c>
      <c r="E89" s="215"/>
      <c r="F89" s="116" t="s">
        <v>41</v>
      </c>
      <c r="G89" s="118"/>
      <c r="H89" s="78"/>
      <c r="I89" s="78"/>
    </row>
    <row r="90" spans="1:12" ht="27" customHeight="1" x14ac:dyDescent="0.4">
      <c r="A90" s="119" t="s">
        <v>102</v>
      </c>
      <c r="B90" s="120">
        <v>1</v>
      </c>
      <c r="C90" s="216" t="s">
        <v>42</v>
      </c>
      <c r="D90" s="122" t="s">
        <v>43</v>
      </c>
      <c r="E90" s="123" t="s">
        <v>44</v>
      </c>
      <c r="F90" s="122" t="s">
        <v>43</v>
      </c>
      <c r="G90" s="217" t="s">
        <v>44</v>
      </c>
      <c r="H90" s="78"/>
      <c r="I90" s="125" t="s">
        <v>45</v>
      </c>
    </row>
    <row r="91" spans="1:12" ht="26.25" customHeight="1" x14ac:dyDescent="0.4">
      <c r="A91" s="119" t="s">
        <v>103</v>
      </c>
      <c r="B91" s="120">
        <v>1</v>
      </c>
      <c r="C91" s="218">
        <v>1</v>
      </c>
      <c r="D91" s="127">
        <v>5233427</v>
      </c>
      <c r="E91" s="128">
        <f>IF(ISBLANK(D91),"-",$D$101/$D$98*D91)</f>
        <v>6524965.6510344585</v>
      </c>
      <c r="F91" s="127">
        <v>6892109</v>
      </c>
      <c r="G91" s="129">
        <f>IF(ISBLANK(F91),"-",$D$101/$F$98*F91)</f>
        <v>6613523.4988737963</v>
      </c>
      <c r="H91" s="78"/>
      <c r="I91" s="130"/>
    </row>
    <row r="92" spans="1:12" ht="26.25" customHeight="1" x14ac:dyDescent="0.4">
      <c r="A92" s="119" t="s">
        <v>104</v>
      </c>
      <c r="B92" s="120">
        <v>1</v>
      </c>
      <c r="C92" s="150">
        <v>2</v>
      </c>
      <c r="D92" s="132">
        <v>5231083</v>
      </c>
      <c r="E92" s="133">
        <f>IF(ISBLANK(D92),"-",$D$101/$D$98*D92)</f>
        <v>6522043.1836940292</v>
      </c>
      <c r="F92" s="132">
        <v>6894967</v>
      </c>
      <c r="G92" s="134">
        <f>IF(ISBLANK(F92),"-",$D$101/$F$98*F92)</f>
        <v>6616265.9758369122</v>
      </c>
      <c r="H92" s="78"/>
      <c r="I92" s="135">
        <f>ABS((F96/D96*D95)-F95)/D95</f>
        <v>1.7041931457489754E-2</v>
      </c>
    </row>
    <row r="93" spans="1:12" ht="26.25" customHeight="1" x14ac:dyDescent="0.4">
      <c r="A93" s="119" t="s">
        <v>105</v>
      </c>
      <c r="B93" s="120">
        <v>1</v>
      </c>
      <c r="C93" s="150">
        <v>3</v>
      </c>
      <c r="D93" s="132">
        <v>5239133</v>
      </c>
      <c r="E93" s="133">
        <f>IF(ISBLANK(D93),"-",$D$101/$D$98*D93)</f>
        <v>6532079.8142786967</v>
      </c>
      <c r="F93" s="132">
        <v>6884375</v>
      </c>
      <c r="G93" s="134">
        <f>IF(ISBLANK(F93),"-",$D$101/$F$98*F93)</f>
        <v>6606102.1143976822</v>
      </c>
      <c r="H93" s="78"/>
      <c r="I93" s="135"/>
    </row>
    <row r="94" spans="1:12" ht="27" customHeight="1" x14ac:dyDescent="0.4">
      <c r="A94" s="119" t="s">
        <v>106</v>
      </c>
      <c r="B94" s="120">
        <v>1</v>
      </c>
      <c r="C94" s="219">
        <v>4</v>
      </c>
      <c r="D94" s="137"/>
      <c r="E94" s="138" t="str">
        <f>IF(ISBLANK(D94),"-",$D$101/$D$98*D94)</f>
        <v>-</v>
      </c>
      <c r="F94" s="137"/>
      <c r="G94" s="139" t="str">
        <f>IF(ISBLANK(F94),"-",$D$101/$F$98*F94)</f>
        <v>-</v>
      </c>
      <c r="H94" s="78"/>
      <c r="I94" s="140"/>
    </row>
    <row r="95" spans="1:12" ht="27" customHeight="1" x14ac:dyDescent="0.4">
      <c r="A95" s="119" t="s">
        <v>107</v>
      </c>
      <c r="B95" s="120">
        <v>1</v>
      </c>
      <c r="C95" s="95" t="s">
        <v>46</v>
      </c>
      <c r="D95" s="220">
        <f>AVERAGE(D91:D94)</f>
        <v>5234547.666666667</v>
      </c>
      <c r="E95" s="143">
        <f>AVERAGE(E91:E94)</f>
        <v>6526362.8830023939</v>
      </c>
      <c r="F95" s="221">
        <f>AVERAGE(F91:F94)</f>
        <v>6890483.666666667</v>
      </c>
      <c r="G95" s="222">
        <f>AVERAGE(G91:G94)</f>
        <v>6611963.8630361306</v>
      </c>
      <c r="H95" s="78"/>
      <c r="I95" s="78"/>
    </row>
    <row r="96" spans="1:12" ht="26.25" customHeight="1" x14ac:dyDescent="0.4">
      <c r="A96" s="119" t="s">
        <v>108</v>
      </c>
      <c r="B96" s="97">
        <v>1</v>
      </c>
      <c r="C96" s="223" t="s">
        <v>78</v>
      </c>
      <c r="D96" s="224">
        <f>D43</f>
        <v>14.4</v>
      </c>
      <c r="E96" s="77"/>
      <c r="F96" s="147">
        <f>F43</f>
        <v>18.71</v>
      </c>
      <c r="G96" s="78"/>
      <c r="H96" s="78"/>
      <c r="I96" s="78"/>
    </row>
    <row r="97" spans="1:10" ht="26.25" customHeight="1" x14ac:dyDescent="0.4">
      <c r="A97" s="119" t="s">
        <v>109</v>
      </c>
      <c r="B97" s="97">
        <v>1</v>
      </c>
      <c r="C97" s="225" t="s">
        <v>79</v>
      </c>
      <c r="D97" s="226">
        <f>D96*$B$87</f>
        <v>14.4</v>
      </c>
      <c r="E97" s="150"/>
      <c r="F97" s="149">
        <f>F96*$B$87</f>
        <v>18.71</v>
      </c>
      <c r="G97" s="78"/>
      <c r="H97" s="78"/>
      <c r="I97" s="78"/>
    </row>
    <row r="98" spans="1:10" ht="19.5" customHeight="1" x14ac:dyDescent="0.3">
      <c r="A98" s="119" t="s">
        <v>49</v>
      </c>
      <c r="B98" s="150">
        <f>(B97/B96)*(B95/B94)*(B93/B92)*(B91/B90)*B89</f>
        <v>100</v>
      </c>
      <c r="C98" s="225" t="s">
        <v>80</v>
      </c>
      <c r="D98" s="227">
        <f>D97*$B$83/100</f>
        <v>14.25888</v>
      </c>
      <c r="E98" s="152"/>
      <c r="F98" s="151">
        <f>F97*$B$83/100</f>
        <v>18.526641999999999</v>
      </c>
      <c r="G98" s="78"/>
      <c r="H98" s="78"/>
      <c r="I98" s="78"/>
    </row>
    <row r="99" spans="1:10" ht="19.5" customHeight="1" x14ac:dyDescent="0.3">
      <c r="A99" s="153" t="s">
        <v>51</v>
      </c>
      <c r="B99" s="228"/>
      <c r="C99" s="225" t="s">
        <v>81</v>
      </c>
      <c r="D99" s="229">
        <f>D98/$B$98</f>
        <v>0.14258879999999999</v>
      </c>
      <c r="E99" s="152"/>
      <c r="F99" s="157">
        <f>F98/$B$98</f>
        <v>0.18526641999999999</v>
      </c>
      <c r="G99" s="78"/>
      <c r="H99" s="145"/>
      <c r="I99" s="78"/>
    </row>
    <row r="100" spans="1:10" ht="19.5" customHeight="1" x14ac:dyDescent="0.3">
      <c r="A100" s="158"/>
      <c r="B100" s="230"/>
      <c r="C100" s="225" t="s">
        <v>53</v>
      </c>
      <c r="D100" s="231">
        <f>$B$56/$B$116</f>
        <v>0.17777777777777778</v>
      </c>
      <c r="E100" s="78"/>
      <c r="F100" s="164"/>
      <c r="G100" s="232"/>
      <c r="H100" s="145"/>
      <c r="I100" s="78"/>
    </row>
    <row r="101" spans="1:10" ht="18.75" x14ac:dyDescent="0.3">
      <c r="A101" s="78"/>
      <c r="B101" s="78"/>
      <c r="C101" s="225" t="s">
        <v>54</v>
      </c>
      <c r="D101" s="226">
        <f>D100*$B$98</f>
        <v>17.777777777777779</v>
      </c>
      <c r="E101" s="78"/>
      <c r="F101" s="164"/>
      <c r="G101" s="78"/>
      <c r="H101" s="145"/>
      <c r="I101" s="78"/>
    </row>
    <row r="102" spans="1:10" ht="19.5" customHeight="1" x14ac:dyDescent="0.3">
      <c r="A102" s="78"/>
      <c r="B102" s="78"/>
      <c r="C102" s="233" t="s">
        <v>55</v>
      </c>
      <c r="D102" s="234">
        <f>D101/B34</f>
        <v>17.777777777777779</v>
      </c>
      <c r="E102" s="78"/>
      <c r="F102" s="168"/>
      <c r="G102" s="78"/>
      <c r="H102" s="145"/>
      <c r="I102" s="78"/>
      <c r="J102" s="21"/>
    </row>
    <row r="103" spans="1:10" ht="18.75" x14ac:dyDescent="0.3">
      <c r="A103" s="78"/>
      <c r="B103" s="78"/>
      <c r="C103" s="235" t="s">
        <v>82</v>
      </c>
      <c r="D103" s="236">
        <f>AVERAGE(E91:E94,G91:G94)</f>
        <v>6569163.3730192622</v>
      </c>
      <c r="E103" s="78"/>
      <c r="F103" s="168"/>
      <c r="G103" s="232"/>
      <c r="H103" s="145"/>
      <c r="I103" s="78"/>
      <c r="J103" s="22"/>
    </row>
    <row r="104" spans="1:10" ht="18.75" x14ac:dyDescent="0.3">
      <c r="A104" s="78"/>
      <c r="B104" s="78"/>
      <c r="C104" s="207" t="s">
        <v>57</v>
      </c>
      <c r="D104" s="237">
        <f>STDEV(E91:E94,G91:G94)/D103</f>
        <v>7.1723954925898082E-3</v>
      </c>
      <c r="E104" s="78"/>
      <c r="F104" s="168"/>
      <c r="G104" s="78"/>
      <c r="H104" s="145"/>
      <c r="I104" s="78"/>
      <c r="J104" s="22"/>
    </row>
    <row r="105" spans="1:10" ht="19.5" customHeight="1" x14ac:dyDescent="0.3">
      <c r="A105" s="78"/>
      <c r="B105" s="78"/>
      <c r="C105" s="209" t="s">
        <v>6</v>
      </c>
      <c r="D105" s="238">
        <f>COUNT(E91:E94,G91:G94)</f>
        <v>6</v>
      </c>
      <c r="E105" s="78"/>
      <c r="F105" s="168"/>
      <c r="G105" s="78"/>
      <c r="H105" s="145"/>
      <c r="I105" s="78"/>
      <c r="J105" s="22"/>
    </row>
    <row r="106" spans="1:10" ht="19.5" customHeight="1" x14ac:dyDescent="0.3">
      <c r="A106" s="172"/>
      <c r="B106" s="172"/>
      <c r="C106" s="172"/>
      <c r="D106" s="172"/>
      <c r="E106" s="172"/>
      <c r="F106" s="78"/>
      <c r="G106" s="78"/>
      <c r="H106" s="78"/>
      <c r="I106" s="78"/>
    </row>
    <row r="107" spans="1:10" ht="27" customHeight="1" x14ac:dyDescent="0.4">
      <c r="A107" s="114" t="s">
        <v>83</v>
      </c>
      <c r="B107" s="115">
        <v>900</v>
      </c>
      <c r="C107" s="178" t="s">
        <v>84</v>
      </c>
      <c r="D107" s="178" t="s">
        <v>43</v>
      </c>
      <c r="E107" s="178" t="s">
        <v>85</v>
      </c>
      <c r="F107" s="239" t="s">
        <v>86</v>
      </c>
      <c r="G107" s="78"/>
      <c r="H107" s="78"/>
      <c r="I107" s="78"/>
    </row>
    <row r="108" spans="1:10" ht="26.25" customHeight="1" x14ac:dyDescent="0.4">
      <c r="A108" s="119" t="s">
        <v>118</v>
      </c>
      <c r="B108" s="120">
        <v>5</v>
      </c>
      <c r="C108" s="181">
        <v>1</v>
      </c>
      <c r="D108" s="240">
        <v>6337141</v>
      </c>
      <c r="E108" s="241">
        <f t="shared" ref="E108:E113" si="1">IF(ISBLANK(D108),"-",D108/$D$103*$D$100*$B$116)</f>
        <v>771.7440581280448</v>
      </c>
      <c r="F108" s="242">
        <f t="shared" ref="F108:F113" si="2">IF(ISBLANK(D108), "-", (E108/$B$56)*100)</f>
        <v>96.4680072660056</v>
      </c>
      <c r="G108" s="78"/>
      <c r="H108" s="78"/>
      <c r="I108" s="78"/>
    </row>
    <row r="109" spans="1:10" ht="26.25" customHeight="1" x14ac:dyDescent="0.4">
      <c r="A109" s="119" t="s">
        <v>111</v>
      </c>
      <c r="B109" s="120">
        <v>25</v>
      </c>
      <c r="C109" s="187">
        <v>2</v>
      </c>
      <c r="D109" s="243">
        <v>6338271</v>
      </c>
      <c r="E109" s="244">
        <f t="shared" si="1"/>
        <v>771.88167078108256</v>
      </c>
      <c r="F109" s="245">
        <f t="shared" si="2"/>
        <v>96.48520884763532</v>
      </c>
      <c r="G109" s="78"/>
      <c r="H109" s="78"/>
      <c r="I109" s="78"/>
    </row>
    <row r="110" spans="1:10" ht="26.25" customHeight="1" x14ac:dyDescent="0.4">
      <c r="A110" s="119" t="s">
        <v>112</v>
      </c>
      <c r="B110" s="120">
        <v>1</v>
      </c>
      <c r="C110" s="187">
        <v>3</v>
      </c>
      <c r="D110" s="243">
        <v>6346113</v>
      </c>
      <c r="E110" s="244">
        <f t="shared" si="1"/>
        <v>772.83667823694316</v>
      </c>
      <c r="F110" s="245">
        <f t="shared" si="2"/>
        <v>96.604584779617895</v>
      </c>
      <c r="G110" s="78"/>
      <c r="H110" s="78"/>
      <c r="I110" s="78"/>
    </row>
    <row r="111" spans="1:10" ht="26.25" customHeight="1" x14ac:dyDescent="0.4">
      <c r="A111" s="119" t="s">
        <v>113</v>
      </c>
      <c r="B111" s="120">
        <v>1</v>
      </c>
      <c r="C111" s="187">
        <v>4</v>
      </c>
      <c r="D111" s="243">
        <v>6351473</v>
      </c>
      <c r="E111" s="244">
        <f t="shared" si="1"/>
        <v>773.48942498055612</v>
      </c>
      <c r="F111" s="245">
        <f t="shared" si="2"/>
        <v>96.686178122569515</v>
      </c>
      <c r="G111" s="78"/>
      <c r="H111" s="78"/>
      <c r="I111" s="78"/>
    </row>
    <row r="112" spans="1:10" ht="26.25" customHeight="1" x14ac:dyDescent="0.4">
      <c r="A112" s="119" t="s">
        <v>114</v>
      </c>
      <c r="B112" s="120">
        <v>1</v>
      </c>
      <c r="C112" s="187">
        <v>5</v>
      </c>
      <c r="D112" s="243">
        <v>6351427</v>
      </c>
      <c r="E112" s="244">
        <f t="shared" si="1"/>
        <v>773.4838230495476</v>
      </c>
      <c r="F112" s="245">
        <f t="shared" si="2"/>
        <v>96.685477881193449</v>
      </c>
      <c r="G112" s="78"/>
      <c r="H112" s="78"/>
      <c r="I112" s="78"/>
    </row>
    <row r="113" spans="1:10" ht="27" customHeight="1" x14ac:dyDescent="0.4">
      <c r="A113" s="119" t="s">
        <v>115</v>
      </c>
      <c r="B113" s="120">
        <v>1</v>
      </c>
      <c r="C113" s="193">
        <v>6</v>
      </c>
      <c r="D113" s="246">
        <v>6352001</v>
      </c>
      <c r="E113" s="247">
        <f t="shared" si="1"/>
        <v>773.5537254060464</v>
      </c>
      <c r="F113" s="248">
        <f t="shared" si="2"/>
        <v>96.6942156757558</v>
      </c>
      <c r="G113" s="78"/>
      <c r="H113" s="78"/>
      <c r="I113" s="78"/>
    </row>
    <row r="114" spans="1:10" ht="27" customHeight="1" x14ac:dyDescent="0.4">
      <c r="A114" s="119" t="s">
        <v>116</v>
      </c>
      <c r="B114" s="120">
        <v>1</v>
      </c>
      <c r="C114" s="249"/>
      <c r="D114" s="150"/>
      <c r="E114" s="77"/>
      <c r="F114" s="245"/>
      <c r="G114" s="78"/>
      <c r="H114" s="78"/>
      <c r="I114" s="78"/>
    </row>
    <row r="115" spans="1:10" ht="26.25" customHeight="1" x14ac:dyDescent="0.4">
      <c r="A115" s="119" t="s">
        <v>117</v>
      </c>
      <c r="B115" s="120">
        <v>1</v>
      </c>
      <c r="C115" s="249"/>
      <c r="D115" s="250" t="s">
        <v>46</v>
      </c>
      <c r="E115" s="251">
        <f>AVERAGE(E108:E113)</f>
        <v>772.83156343037001</v>
      </c>
      <c r="F115" s="252">
        <f>AVERAGE(F108:F113)</f>
        <v>96.603945428796251</v>
      </c>
      <c r="G115" s="78"/>
      <c r="H115" s="78"/>
      <c r="I115" s="78"/>
    </row>
    <row r="116" spans="1:10" ht="27" customHeight="1" x14ac:dyDescent="0.4">
      <c r="A116" s="119" t="s">
        <v>68</v>
      </c>
      <c r="B116" s="131">
        <f>(B115/B114)*(B113/B112)*(B111/B110)*(B109/B108)*B107</f>
        <v>4500</v>
      </c>
      <c r="C116" s="253"/>
      <c r="D116" s="254" t="s">
        <v>57</v>
      </c>
      <c r="E116" s="208">
        <f>STDEV(E108:E113)/E115</f>
        <v>1.0771222364870216E-3</v>
      </c>
      <c r="F116" s="255">
        <f>STDEV(F108:F113)/F115</f>
        <v>1.0771222364870216E-3</v>
      </c>
      <c r="G116" s="78"/>
      <c r="H116" s="78"/>
      <c r="I116" s="77"/>
    </row>
    <row r="117" spans="1:10" ht="27" customHeight="1" x14ac:dyDescent="0.4">
      <c r="A117" s="153" t="s">
        <v>51</v>
      </c>
      <c r="B117" s="154"/>
      <c r="C117" s="256"/>
      <c r="D117" s="209" t="s">
        <v>6</v>
      </c>
      <c r="E117" s="257">
        <f>COUNT(E108:E113)</f>
        <v>6</v>
      </c>
      <c r="F117" s="258">
        <f>COUNT(F108:F113)</f>
        <v>6</v>
      </c>
      <c r="G117" s="78"/>
      <c r="H117" s="78"/>
      <c r="I117" s="77"/>
      <c r="J117" s="22"/>
    </row>
    <row r="118" spans="1:10" ht="26.25" customHeight="1" x14ac:dyDescent="0.3">
      <c r="A118" s="158"/>
      <c r="B118" s="159"/>
      <c r="C118" s="77"/>
      <c r="D118" s="259"/>
      <c r="E118" s="260" t="s">
        <v>87</v>
      </c>
      <c r="F118" s="261"/>
      <c r="G118" s="77"/>
      <c r="H118" s="77"/>
      <c r="I118" s="77"/>
    </row>
    <row r="119" spans="1:10" ht="25.5" customHeight="1" x14ac:dyDescent="0.4">
      <c r="A119" s="262"/>
      <c r="B119" s="112"/>
      <c r="C119" s="77"/>
      <c r="D119" s="254" t="s">
        <v>88</v>
      </c>
      <c r="E119" s="263">
        <f>MIN(E108:E113)</f>
        <v>771.7440581280448</v>
      </c>
      <c r="F119" s="264">
        <f>MIN(F108:F113)</f>
        <v>96.4680072660056</v>
      </c>
      <c r="G119" s="77"/>
      <c r="H119" s="77"/>
      <c r="I119" s="77"/>
    </row>
    <row r="120" spans="1:10" ht="24" customHeight="1" x14ac:dyDescent="0.4">
      <c r="A120" s="262"/>
      <c r="B120" s="112"/>
      <c r="C120" s="77"/>
      <c r="D120" s="165" t="s">
        <v>89</v>
      </c>
      <c r="E120" s="265">
        <f>MAX(E108:E113)</f>
        <v>773.5537254060464</v>
      </c>
      <c r="F120" s="266">
        <f>MAX(F108:F113)</f>
        <v>96.6942156757558</v>
      </c>
      <c r="G120" s="77"/>
      <c r="H120" s="77"/>
      <c r="I120" s="77"/>
    </row>
    <row r="121" spans="1:10" ht="27" customHeight="1" x14ac:dyDescent="0.3">
      <c r="A121" s="262"/>
      <c r="B121" s="112"/>
      <c r="C121" s="77"/>
      <c r="D121" s="77"/>
      <c r="E121" s="77"/>
      <c r="F121" s="150"/>
      <c r="G121" s="77"/>
      <c r="H121" s="77"/>
      <c r="I121" s="77"/>
    </row>
    <row r="122" spans="1:10" ht="25.5" customHeight="1" x14ac:dyDescent="0.3">
      <c r="A122" s="262"/>
      <c r="B122" s="112"/>
      <c r="C122" s="77"/>
      <c r="D122" s="77"/>
      <c r="E122" s="77"/>
      <c r="F122" s="150"/>
      <c r="G122" s="77"/>
      <c r="H122" s="77"/>
      <c r="I122" s="77"/>
    </row>
    <row r="123" spans="1:10" ht="18.75" x14ac:dyDescent="0.3">
      <c r="A123" s="262"/>
      <c r="B123" s="112"/>
      <c r="C123" s="77"/>
      <c r="D123" s="77"/>
      <c r="E123" s="77"/>
      <c r="F123" s="150"/>
      <c r="G123" s="77"/>
      <c r="H123" s="77"/>
      <c r="I123" s="77"/>
    </row>
    <row r="124" spans="1:10" ht="45.75" customHeight="1" x14ac:dyDescent="0.65">
      <c r="A124" s="94" t="s">
        <v>71</v>
      </c>
      <c r="B124" s="95" t="s">
        <v>90</v>
      </c>
      <c r="C124" s="211" t="str">
        <f>B26</f>
        <v>Sulfamethoxazole</v>
      </c>
      <c r="D124" s="211"/>
      <c r="E124" s="77" t="s">
        <v>91</v>
      </c>
      <c r="F124" s="77"/>
      <c r="G124" s="267">
        <f>F115</f>
        <v>96.603945428796251</v>
      </c>
      <c r="H124" s="77"/>
      <c r="I124" s="77"/>
    </row>
    <row r="125" spans="1:10" ht="45.75" customHeight="1" x14ac:dyDescent="0.65">
      <c r="A125" s="94"/>
      <c r="B125" s="95" t="s">
        <v>92</v>
      </c>
      <c r="C125" s="95" t="s">
        <v>93</v>
      </c>
      <c r="D125" s="267">
        <f>MIN(F108:F113)</f>
        <v>96.4680072660056</v>
      </c>
      <c r="E125" s="95" t="s">
        <v>94</v>
      </c>
      <c r="F125" s="267">
        <f>MAX(F108:F113)</f>
        <v>96.6942156757558</v>
      </c>
      <c r="G125" s="212"/>
      <c r="H125" s="77"/>
      <c r="I125" s="77"/>
    </row>
    <row r="126" spans="1:10" ht="19.5" customHeight="1" x14ac:dyDescent="0.3">
      <c r="A126" s="268"/>
      <c r="B126" s="268"/>
      <c r="C126" s="269"/>
      <c r="D126" s="269"/>
      <c r="E126" s="269"/>
      <c r="F126" s="269"/>
      <c r="G126" s="269"/>
      <c r="H126" s="269"/>
      <c r="I126" s="78"/>
    </row>
    <row r="127" spans="1:10" ht="18.75" x14ac:dyDescent="0.3">
      <c r="A127" s="78"/>
      <c r="B127" s="270" t="s">
        <v>7</v>
      </c>
      <c r="C127" s="270"/>
      <c r="D127" s="78"/>
      <c r="E127" s="216" t="s">
        <v>8</v>
      </c>
      <c r="F127" s="271"/>
      <c r="G127" s="270" t="s">
        <v>9</v>
      </c>
      <c r="H127" s="270"/>
      <c r="I127" s="78"/>
    </row>
    <row r="128" spans="1:10" ht="69.95" customHeight="1" x14ac:dyDescent="0.3">
      <c r="A128" s="94" t="s">
        <v>10</v>
      </c>
      <c r="B128" s="272"/>
      <c r="C128" s="272"/>
      <c r="D128" s="78"/>
      <c r="E128" s="272"/>
      <c r="F128" s="77"/>
      <c r="G128" s="272"/>
      <c r="H128" s="272"/>
      <c r="I128" s="78"/>
    </row>
    <row r="129" spans="1:9" ht="69.95" customHeight="1" x14ac:dyDescent="0.3">
      <c r="A129" s="94" t="s">
        <v>11</v>
      </c>
      <c r="B129" s="273"/>
      <c r="C129" s="273"/>
      <c r="D129" s="78"/>
      <c r="E129" s="273"/>
      <c r="F129" s="77"/>
      <c r="G129" s="274"/>
      <c r="H129" s="274"/>
      <c r="I129" s="78"/>
    </row>
    <row r="130" spans="1:9" ht="18.75" x14ac:dyDescent="0.3">
      <c r="A130" s="150"/>
      <c r="B130" s="150"/>
      <c r="C130" s="150"/>
      <c r="D130" s="150"/>
      <c r="E130" s="150"/>
      <c r="F130" s="152"/>
      <c r="G130" s="150"/>
      <c r="H130" s="150"/>
      <c r="I130" s="77"/>
    </row>
    <row r="131" spans="1:9" ht="18.75" x14ac:dyDescent="0.3">
      <c r="A131" s="18"/>
      <c r="B131" s="18"/>
      <c r="C131" s="19"/>
      <c r="D131" s="19"/>
      <c r="E131" s="19"/>
      <c r="F131" s="20"/>
      <c r="G131" s="19"/>
      <c r="H131" s="19"/>
      <c r="I131" s="13"/>
    </row>
    <row r="132" spans="1:9" ht="18.75" x14ac:dyDescent="0.3">
      <c r="A132" s="18"/>
      <c r="B132" s="18"/>
      <c r="C132" s="19"/>
      <c r="D132" s="19"/>
      <c r="E132" s="19"/>
      <c r="F132" s="20"/>
      <c r="G132" s="19"/>
      <c r="H132" s="19"/>
      <c r="I132" s="13"/>
    </row>
    <row r="133" spans="1:9" ht="18.75" x14ac:dyDescent="0.3">
      <c r="A133" s="18"/>
      <c r="B133" s="18"/>
      <c r="C133" s="19"/>
      <c r="D133" s="19"/>
      <c r="E133" s="19"/>
      <c r="F133" s="20"/>
      <c r="G133" s="19"/>
      <c r="H133" s="19"/>
      <c r="I133" s="13"/>
    </row>
    <row r="134" spans="1:9" ht="18.75" x14ac:dyDescent="0.3">
      <c r="A134" s="18"/>
      <c r="B134" s="18"/>
      <c r="C134" s="19"/>
      <c r="D134" s="19"/>
      <c r="E134" s="19"/>
      <c r="F134" s="20"/>
      <c r="G134" s="19"/>
      <c r="H134" s="19"/>
      <c r="I134" s="13"/>
    </row>
    <row r="135" spans="1:9" ht="18.75" x14ac:dyDescent="0.3">
      <c r="A135" s="18"/>
      <c r="B135" s="18"/>
      <c r="C135" s="19"/>
      <c r="D135" s="19"/>
      <c r="E135" s="19"/>
      <c r="F135" s="20"/>
      <c r="G135" s="19"/>
      <c r="H135" s="19"/>
      <c r="I135" s="13"/>
    </row>
    <row r="136" spans="1:9" ht="18.75" x14ac:dyDescent="0.3">
      <c r="A136" s="18"/>
      <c r="B136" s="18"/>
      <c r="C136" s="19"/>
      <c r="D136" s="19"/>
      <c r="E136" s="19"/>
      <c r="F136" s="20"/>
      <c r="G136" s="19"/>
      <c r="H136" s="19"/>
      <c r="I136" s="13"/>
    </row>
    <row r="137" spans="1:9" ht="18.75" x14ac:dyDescent="0.3">
      <c r="A137" s="18"/>
      <c r="B137" s="18"/>
      <c r="C137" s="19"/>
      <c r="D137" s="19"/>
      <c r="E137" s="19"/>
      <c r="F137" s="20"/>
      <c r="G137" s="19"/>
      <c r="H137" s="19"/>
      <c r="I137" s="13"/>
    </row>
    <row r="138" spans="1:9" ht="18.75" x14ac:dyDescent="0.3">
      <c r="A138" s="18"/>
      <c r="B138" s="18"/>
      <c r="C138" s="19"/>
      <c r="D138" s="19"/>
      <c r="E138" s="19"/>
      <c r="F138" s="20"/>
      <c r="G138" s="19"/>
      <c r="H138" s="19"/>
      <c r="I138" s="1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trimethoprim</vt:lpstr>
      <vt:lpstr>sulfamethoxazole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2017-03-15T09:42:39Z</cp:lastPrinted>
  <dcterms:created xsi:type="dcterms:W3CDTF">2005-07-05T10:19:27Z</dcterms:created>
  <dcterms:modified xsi:type="dcterms:W3CDTF">2017-03-15T09:44:01Z</dcterms:modified>
</cp:coreProperties>
</file>