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10" windowWidth="15015" windowHeight="7110" activeTab="4"/>
  </bookViews>
  <sheets>
    <sheet name="ATAZANAVIR SST" sheetId="11" r:id="rId1"/>
    <sheet name="RITONAVIR SST" sheetId="12" r:id="rId2"/>
    <sheet name="Uniformity" sheetId="13" r:id="rId3"/>
    <sheet name="Atazanavir" sheetId="6" r:id="rId4"/>
    <sheet name="Ritonavir" sheetId="7" r:id="rId5"/>
  </sheets>
  <definedNames>
    <definedName name="_xlnm.Print_Area" localSheetId="3">Atazanavir!$A$1:$H$178</definedName>
    <definedName name="_xlnm.Print_Area" localSheetId="0">'ATAZANAVIR SST'!$A$15:$G$61</definedName>
    <definedName name="_xlnm.Print_Area" localSheetId="4">Ritonavir!$A$1:$H$178</definedName>
    <definedName name="_xlnm.Print_Area" localSheetId="1">'RITONAVIR SST'!$A$15:$H$61</definedName>
    <definedName name="_xlnm.Print_Area" localSheetId="2">Uniformity!$A$12:$K$54</definedName>
  </definedNames>
  <calcPr calcId="145621"/>
</workbook>
</file>

<file path=xl/calcChain.xml><?xml version="1.0" encoding="utf-8"?>
<calcChain xmlns="http://schemas.openxmlformats.org/spreadsheetml/2006/main">
  <c r="B81" i="6" l="1"/>
  <c r="B57" i="7" l="1"/>
  <c r="B57" i="6"/>
  <c r="D49" i="13"/>
  <c r="C49" i="13"/>
  <c r="C46" i="13"/>
  <c r="D50" i="13" s="1"/>
  <c r="C45" i="13"/>
  <c r="D43" i="13"/>
  <c r="D40" i="13"/>
  <c r="D39" i="13"/>
  <c r="D36" i="13"/>
  <c r="D35" i="13"/>
  <c r="D32" i="13"/>
  <c r="D31" i="13"/>
  <c r="D28" i="13"/>
  <c r="D27" i="13"/>
  <c r="D24" i="13"/>
  <c r="C19" i="13"/>
  <c r="B53" i="12"/>
  <c r="F51" i="12"/>
  <c r="D51" i="12"/>
  <c r="C51" i="12"/>
  <c r="B51" i="12"/>
  <c r="B52" i="12" s="1"/>
  <c r="B42" i="12"/>
  <c r="B32" i="12"/>
  <c r="F30" i="12"/>
  <c r="D30" i="12"/>
  <c r="C30" i="12"/>
  <c r="B30" i="12"/>
  <c r="B31" i="12" s="1"/>
  <c r="B21" i="12"/>
  <c r="B53" i="11"/>
  <c r="E51" i="11"/>
  <c r="D51" i="11"/>
  <c r="C51" i="11"/>
  <c r="B51" i="11"/>
  <c r="B52" i="11" s="1"/>
  <c r="B42" i="11"/>
  <c r="B32" i="11"/>
  <c r="E30" i="11"/>
  <c r="D30" i="11"/>
  <c r="C30" i="11"/>
  <c r="B30" i="11"/>
  <c r="B31" i="11" s="1"/>
  <c r="B21" i="11"/>
  <c r="C50" i="13" l="1"/>
  <c r="D25" i="13"/>
  <c r="D29" i="13"/>
  <c r="D33" i="13"/>
  <c r="D37" i="13"/>
  <c r="D41" i="13"/>
  <c r="D26" i="13"/>
  <c r="D30" i="13"/>
  <c r="D34" i="13"/>
  <c r="D38" i="13"/>
  <c r="D42" i="13"/>
  <c r="B49" i="13"/>
  <c r="C173" i="7" l="1"/>
  <c r="B169" i="7"/>
  <c r="C156" i="7"/>
  <c r="B152" i="7"/>
  <c r="C139" i="7"/>
  <c r="B135" i="7"/>
  <c r="C122" i="7"/>
  <c r="B118" i="7"/>
  <c r="D102" i="7" s="1"/>
  <c r="B100" i="7"/>
  <c r="F97" i="7"/>
  <c r="D97" i="7"/>
  <c r="G96" i="7"/>
  <c r="E96" i="7"/>
  <c r="B89" i="7"/>
  <c r="F99" i="7" s="1"/>
  <c r="B84" i="7"/>
  <c r="B83" i="7"/>
  <c r="B81" i="7"/>
  <c r="B80" i="7"/>
  <c r="C76" i="7"/>
  <c r="H71" i="7"/>
  <c r="G71" i="7"/>
  <c r="B68" i="7"/>
  <c r="G67" i="7"/>
  <c r="H67" i="7" s="1"/>
  <c r="G63" i="7"/>
  <c r="H63" i="7" s="1"/>
  <c r="C56" i="7"/>
  <c r="B55" i="7"/>
  <c r="B45" i="7"/>
  <c r="D48" i="7" s="1"/>
  <c r="F42" i="7"/>
  <c r="D42" i="7"/>
  <c r="G41" i="7"/>
  <c r="E41" i="7"/>
  <c r="B34" i="7"/>
  <c r="D44" i="7" s="1"/>
  <c r="D45" i="7" s="1"/>
  <c r="B30" i="7"/>
  <c r="C173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C156" i="6"/>
  <c r="B152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C139" i="6"/>
  <c r="B135" i="6"/>
  <c r="C122" i="6"/>
  <c r="B118" i="6"/>
  <c r="D102" i="6"/>
  <c r="B100" i="6"/>
  <c r="D103" i="6" s="1"/>
  <c r="F97" i="6"/>
  <c r="D97" i="6"/>
  <c r="G96" i="6"/>
  <c r="E96" i="6"/>
  <c r="B89" i="6"/>
  <c r="F99" i="6" s="1"/>
  <c r="F100" i="6" s="1"/>
  <c r="B84" i="6"/>
  <c r="B83" i="6"/>
  <c r="B82" i="6"/>
  <c r="B80" i="6"/>
  <c r="C76" i="6"/>
  <c r="H71" i="6"/>
  <c r="G71" i="6"/>
  <c r="B68" i="6"/>
  <c r="H67" i="6"/>
  <c r="G67" i="6"/>
  <c r="H63" i="6"/>
  <c r="G63" i="6"/>
  <c r="C56" i="6"/>
  <c r="B55" i="6"/>
  <c r="B45" i="6"/>
  <c r="D48" i="6" s="1"/>
  <c r="F42" i="6"/>
  <c r="D42" i="6"/>
  <c r="G41" i="6"/>
  <c r="E41" i="6"/>
  <c r="B34" i="6"/>
  <c r="F44" i="6" s="1"/>
  <c r="F45" i="6" s="1"/>
  <c r="B30" i="6"/>
  <c r="D46" i="7" l="1"/>
  <c r="F46" i="6"/>
  <c r="F100" i="7"/>
  <c r="F101" i="7" s="1"/>
  <c r="D103" i="7"/>
  <c r="D104" i="7" s="1"/>
  <c r="B69" i="6"/>
  <c r="F101" i="6"/>
  <c r="F170" i="6"/>
  <c r="F151" i="6"/>
  <c r="F152" i="6" s="1"/>
  <c r="B69" i="7"/>
  <c r="D49" i="7"/>
  <c r="E40" i="7"/>
  <c r="E38" i="7"/>
  <c r="E39" i="7"/>
  <c r="D104" i="6"/>
  <c r="G95" i="6"/>
  <c r="G93" i="6"/>
  <c r="G94" i="6"/>
  <c r="G40" i="6"/>
  <c r="G38" i="6"/>
  <c r="D49" i="6"/>
  <c r="G39" i="6"/>
  <c r="F168" i="6"/>
  <c r="F44" i="7"/>
  <c r="F45" i="7" s="1"/>
  <c r="F46" i="7" s="1"/>
  <c r="D44" i="6"/>
  <c r="D45" i="6" s="1"/>
  <c r="D46" i="6" s="1"/>
  <c r="D99" i="6"/>
  <c r="D100" i="6" s="1"/>
  <c r="D101" i="6" s="1"/>
  <c r="F153" i="6"/>
  <c r="D99" i="7"/>
  <c r="D100" i="7" s="1"/>
  <c r="D101" i="7" s="1"/>
  <c r="G38" i="7" l="1"/>
  <c r="E93" i="6"/>
  <c r="G94" i="7"/>
  <c r="G93" i="7"/>
  <c r="G95" i="7"/>
  <c r="E93" i="7"/>
  <c r="E94" i="7"/>
  <c r="G97" i="6"/>
  <c r="G156" i="6"/>
  <c r="E42" i="7"/>
  <c r="E40" i="6"/>
  <c r="E39" i="6"/>
  <c r="E95" i="7"/>
  <c r="G40" i="7"/>
  <c r="E38" i="6"/>
  <c r="F169" i="6"/>
  <c r="G173" i="6"/>
  <c r="G42" i="6"/>
  <c r="E95" i="6"/>
  <c r="E94" i="6"/>
  <c r="G39" i="7"/>
  <c r="D52" i="7" l="1"/>
  <c r="G97" i="7"/>
  <c r="D105" i="7"/>
  <c r="E148" i="7" s="1"/>
  <c r="F148" i="7" s="1"/>
  <c r="E97" i="7"/>
  <c r="D107" i="7"/>
  <c r="E97" i="6"/>
  <c r="D107" i="6"/>
  <c r="D105" i="6"/>
  <c r="G42" i="7"/>
  <c r="D50" i="6"/>
  <c r="E42" i="6"/>
  <c r="D52" i="6"/>
  <c r="D50" i="7"/>
  <c r="D106" i="7" l="1"/>
  <c r="E131" i="7"/>
  <c r="F131" i="7" s="1"/>
  <c r="E113" i="7"/>
  <c r="F113" i="7" s="1"/>
  <c r="E161" i="7"/>
  <c r="F161" i="7" s="1"/>
  <c r="E112" i="7"/>
  <c r="F112" i="7" s="1"/>
  <c r="E132" i="7"/>
  <c r="F132" i="7" s="1"/>
  <c r="E162" i="7"/>
  <c r="F162" i="7" s="1"/>
  <c r="E115" i="7"/>
  <c r="F115" i="7" s="1"/>
  <c r="E145" i="7"/>
  <c r="F145" i="7" s="1"/>
  <c r="E163" i="7"/>
  <c r="F163" i="7" s="1"/>
  <c r="E114" i="7"/>
  <c r="F114" i="7" s="1"/>
  <c r="E144" i="7"/>
  <c r="F144" i="7" s="1"/>
  <c r="E164" i="7"/>
  <c r="F164" i="7" s="1"/>
  <c r="E127" i="7"/>
  <c r="F127" i="7" s="1"/>
  <c r="E165" i="7"/>
  <c r="F165" i="7" s="1"/>
  <c r="E128" i="7"/>
  <c r="F128" i="7" s="1"/>
  <c r="E146" i="7"/>
  <c r="F146" i="7" s="1"/>
  <c r="E166" i="7"/>
  <c r="F166" i="7" s="1"/>
  <c r="E147" i="7"/>
  <c r="F147" i="7" s="1"/>
  <c r="E111" i="7"/>
  <c r="F111" i="7" s="1"/>
  <c r="E129" i="7"/>
  <c r="F129" i="7" s="1"/>
  <c r="E149" i="7"/>
  <c r="F149" i="7" s="1"/>
  <c r="E110" i="7"/>
  <c r="F110" i="7" s="1"/>
  <c r="E130" i="7"/>
  <c r="F130" i="7" s="1"/>
  <c r="G70" i="7"/>
  <c r="H70" i="7" s="1"/>
  <c r="G62" i="7"/>
  <c r="H62" i="7" s="1"/>
  <c r="G60" i="7"/>
  <c r="H60" i="7" s="1"/>
  <c r="G68" i="7"/>
  <c r="H68" i="7" s="1"/>
  <c r="G65" i="7"/>
  <c r="H65" i="7" s="1"/>
  <c r="G69" i="7"/>
  <c r="H69" i="7" s="1"/>
  <c r="G61" i="7"/>
  <c r="H61" i="7" s="1"/>
  <c r="D51" i="7"/>
  <c r="G66" i="7"/>
  <c r="H66" i="7" s="1"/>
  <c r="G64" i="7"/>
  <c r="H64" i="7" s="1"/>
  <c r="E132" i="6"/>
  <c r="F132" i="6" s="1"/>
  <c r="E130" i="6"/>
  <c r="F130" i="6" s="1"/>
  <c r="E128" i="6"/>
  <c r="F128" i="6" s="1"/>
  <c r="E114" i="6"/>
  <c r="F114" i="6" s="1"/>
  <c r="E112" i="6"/>
  <c r="F112" i="6" s="1"/>
  <c r="E110" i="6"/>
  <c r="F110" i="6" s="1"/>
  <c r="E131" i="6"/>
  <c r="F131" i="6" s="1"/>
  <c r="E129" i="6"/>
  <c r="F129" i="6" s="1"/>
  <c r="E127" i="6"/>
  <c r="F127" i="6" s="1"/>
  <c r="E115" i="6"/>
  <c r="F115" i="6" s="1"/>
  <c r="E113" i="6"/>
  <c r="F113" i="6" s="1"/>
  <c r="E111" i="6"/>
  <c r="F111" i="6" s="1"/>
  <c r="D106" i="6"/>
  <c r="D51" i="6"/>
  <c r="G70" i="6"/>
  <c r="H70" i="6" s="1"/>
  <c r="G65" i="6"/>
  <c r="H65" i="6" s="1"/>
  <c r="G61" i="6"/>
  <c r="H61" i="6" s="1"/>
  <c r="G68" i="6"/>
  <c r="H68" i="6" s="1"/>
  <c r="G69" i="6"/>
  <c r="H69" i="6" s="1"/>
  <c r="G66" i="6"/>
  <c r="H66" i="6" s="1"/>
  <c r="G64" i="6"/>
  <c r="H64" i="6" s="1"/>
  <c r="G62" i="6"/>
  <c r="H62" i="6" s="1"/>
  <c r="G60" i="6"/>
  <c r="H60" i="6" s="1"/>
  <c r="F134" i="7" l="1"/>
  <c r="G139" i="7" s="1"/>
  <c r="F119" i="7"/>
  <c r="F168" i="7"/>
  <c r="F169" i="7" s="1"/>
  <c r="F151" i="7"/>
  <c r="F152" i="7" s="1"/>
  <c r="F136" i="7"/>
  <c r="F117" i="7"/>
  <c r="G122" i="7" s="1"/>
  <c r="F153" i="7"/>
  <c r="F170" i="7"/>
  <c r="H72" i="6"/>
  <c r="H74" i="6"/>
  <c r="H72" i="7"/>
  <c r="H74" i="7"/>
  <c r="F136" i="6"/>
  <c r="F134" i="6"/>
  <c r="F117" i="6"/>
  <c r="F119" i="6"/>
  <c r="F135" i="7" l="1"/>
  <c r="G173" i="7"/>
  <c r="F118" i="7"/>
  <c r="G156" i="7"/>
  <c r="G76" i="7"/>
  <c r="H73" i="7"/>
  <c r="H73" i="6"/>
  <c r="G76" i="6"/>
  <c r="F135" i="6"/>
  <c r="G139" i="6"/>
  <c r="G122" i="6"/>
  <c r="F118" i="6"/>
</calcChain>
</file>

<file path=xl/sharedStrings.xml><?xml version="1.0" encoding="utf-8"?>
<sst xmlns="http://schemas.openxmlformats.org/spreadsheetml/2006/main" count="581" uniqueCount="131">
  <si>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</si>
  <si>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</si>
  <si>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</si>
  <si>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</si>
  <si>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</si>
  <si>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</si>
  <si>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</si>
  <si>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</si>
  <si>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</si>
  <si>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</si>
  <si>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</si>
  <si>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</si>
  <si>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</si>
  <si>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</si>
  <si>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</si>
  <si>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</si>
  <si>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</si>
  <si>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</si>
  <si>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</si>
  <si>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</si>
  <si>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</si>
  <si>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</si>
  <si>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</si>
  <si>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</si>
  <si>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</si>
  <si>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</si>
  <si>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</si>
  <si>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</si>
  <si>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</si>
  <si>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</si>
  <si>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</si>
  <si>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</si>
  <si>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</si>
  <si>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</si>
  <si>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</si>
  <si>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</si>
  <si>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</si>
  <si>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</si>
  <si>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</si>
  <si>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</si>
  <si>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</si>
  <si>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</si>
  <si>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</si>
  <si>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</si>
  <si>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</si>
  <si>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</si>
  <si>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</si>
  <si>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</si>
  <si>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</si>
  <si>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</si>
  <si>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</si>
  <si>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</si>
  <si>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</si>
  <si>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</si>
  <si>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</si>
  <si>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</si>
  <si>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</si>
  <si>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</si>
  <si>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</si>
  <si>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</si>
  <si>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</si>
  <si>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</si>
  <si>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</si>
  <si>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</si>
  <si>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</si>
  <si>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</si>
  <si>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</si>
  <si>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</si>
  <si>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</si>
  <si>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</si>
  <si>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</si>
  <si>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</si>
  <si>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</si>
  <si>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</si>
  <si>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</si>
  <si>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</si>
  <si>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</si>
  <si>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</si>
  <si>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</si>
  <si>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</si>
  <si>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</si>
  <si>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</si>
  <si>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</si>
  <si>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</si>
  <si>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</si>
  <si>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</si>
  <si>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</si>
  <si>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</si>
  <si>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</si>
  <si>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</si>
  <si>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</si>
  <si>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</si>
  <si>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</si>
  <si>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</si>
  <si>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</si>
  <si>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</si>
  <si>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</si>
  <si>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</si>
  <si>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</si>
  <si>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</si>
  <si>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</si>
  <si>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</si>
  <si>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</si>
  <si>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 the sample as a percentage of the stated  label claim is </t>
  </si>
  <si>
    <t>Analysis Data:</t>
  </si>
  <si>
    <t>Determination of Active Ingredient Dissolved after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</si>
  <si>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</si>
  <si>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</si>
  <si>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</si>
  <si>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</si>
  <si>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</si>
  <si>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3hrs</t>
  </si>
  <si>
    <t>ATAZANAVIR SULFATE /RITONAVIR TABLETS</t>
  </si>
  <si>
    <t>ATAZANAVIR</t>
  </si>
  <si>
    <t>ATAZANAVIR, RITONAVIR</t>
  </si>
  <si>
    <t xml:space="preserve">EACH TABLETS CONTAINS ATAZANAVIR AND RITONAVIR TALETS 300/100 </t>
  </si>
  <si>
    <t>Atazanavi Sulfate</t>
  </si>
  <si>
    <t>Ritonavir</t>
  </si>
  <si>
    <t>R14-3</t>
  </si>
  <si>
    <t>ATAZANAVIR SULFATE</t>
  </si>
  <si>
    <t>The Resolution between Atazanavir and Ritonavir should NLT 2.5 @210 nm</t>
  </si>
  <si>
    <t>RUTTO KENNEDY</t>
  </si>
  <si>
    <t>Resolution(USP)</t>
  </si>
  <si>
    <r>
      <t xml:space="preserve">The Resolution between Atazanavir and Ritonavir should </t>
    </r>
    <r>
      <rPr>
        <b/>
        <sz val="12"/>
        <color rgb="FF000000"/>
        <rFont val="Book Antiqua"/>
        <family val="1"/>
      </rPr>
      <t>NLT 2.5</t>
    </r>
    <r>
      <rPr>
        <sz val="12"/>
        <color rgb="FF000000"/>
        <rFont val="Book Antiqua"/>
        <family val="1"/>
      </rPr>
      <t xml:space="preserve"> @210 nm</t>
    </r>
  </si>
  <si>
    <t>NDQB201702335</t>
  </si>
  <si>
    <t>RITONAVIR</t>
  </si>
  <si>
    <t>ANZAVIR-R TABLETS</t>
  </si>
  <si>
    <t>Each film coated tablet contains:Atazanavir(as sulfate) equivalent to Atazanavir 300 mg/Ritonavir USP 100 mg.</t>
  </si>
  <si>
    <t>2017-02-14 12:23:12</t>
  </si>
  <si>
    <t>23/02/2017</t>
  </si>
  <si>
    <t>NQCL-PRS-A48-3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</si>
</sst>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"/>
    <numFmt numFmtId="172" formatCode="dd\-mmm\-yyyy"/>
  </numFmts>
  <fonts count="3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2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1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21" fillId="2" borderId="0"/>
    <xf numFmtId="0" fontId="21" fillId="2" borderId="0"/>
    <xf numFmtId="0" fontId="21" fillId="2" borderId="0"/>
    <xf numFmtId="0" fontId="21" fillId="2" borderId="0"/>
  </cellStyleXfs>
  <cellXfs count="355">
    <xf numFmtId="0" fontId="0" fillId="2" borderId="0" xfId="0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1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14" fontId="2" fillId="2" borderId="7" xfId="1" applyNumberFormat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/>
    <xf numFmtId="0" fontId="9" fillId="2" borderId="0" xfId="1" applyFont="1" applyFill="1"/>
    <xf numFmtId="0" fontId="9" fillId="3" borderId="0" xfId="1" applyFont="1" applyFill="1" applyAlignment="1" applyProtection="1">
      <alignment horizontal="left"/>
      <protection locked="0"/>
    </xf>
    <xf numFmtId="0" fontId="8" fillId="3" borderId="0" xfId="1" applyFont="1" applyFill="1" applyAlignment="1" applyProtection="1">
      <alignment horizontal="left"/>
      <protection locked="0"/>
    </xf>
    <xf numFmtId="0" fontId="8" fillId="2" borderId="0" xfId="1" applyFont="1" applyFill="1"/>
    <xf numFmtId="0" fontId="8" fillId="3" borderId="0" xfId="1" applyFont="1" applyFill="1" applyProtection="1">
      <protection locked="0"/>
    </xf>
    <xf numFmtId="168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18" fillId="3" borderId="0" xfId="1" applyFont="1" applyFill="1" applyAlignment="1" applyProtection="1">
      <alignment horizontal="left"/>
      <protection locked="0"/>
    </xf>
    <xf numFmtId="0" fontId="8" fillId="3" borderId="0" xfId="1" applyFont="1" applyFill="1"/>
    <xf numFmtId="0" fontId="8" fillId="2" borderId="0" xfId="1" applyFont="1" applyFill="1" applyAlignment="1">
      <alignment horizontal="right"/>
    </xf>
    <xf numFmtId="0" fontId="18" fillId="3" borderId="0" xfId="1" applyFont="1" applyFill="1" applyAlignment="1" applyProtection="1">
      <alignment horizontal="center"/>
      <protection locked="0"/>
    </xf>
    <xf numFmtId="0" fontId="10" fillId="2" borderId="0" xfId="1" applyFont="1" applyFill="1" applyAlignment="1">
      <alignment vertical="center" wrapText="1"/>
    </xf>
    <xf numFmtId="0" fontId="9" fillId="2" borderId="0" xfId="1" applyFont="1" applyFill="1" applyAlignment="1">
      <alignment horizontal="center"/>
    </xf>
    <xf numFmtId="0" fontId="11" fillId="2" borderId="0" xfId="1" applyFont="1" applyFill="1"/>
    <xf numFmtId="0" fontId="12" fillId="2" borderId="0" xfId="1" applyFont="1" applyFill="1"/>
    <xf numFmtId="2" fontId="18" fillId="3" borderId="0" xfId="1" applyNumberFormat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vertical="center" wrapText="1"/>
    </xf>
    <xf numFmtId="0" fontId="13" fillId="2" borderId="0" xfId="1" applyFont="1" applyFill="1"/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9" fontId="9" fillId="2" borderId="0" xfId="1" applyNumberFormat="1" applyFont="1" applyFill="1" applyAlignment="1">
      <alignment horizontal="center"/>
    </xf>
    <xf numFmtId="0" fontId="8" fillId="2" borderId="21" xfId="1" applyFont="1" applyFill="1" applyBorder="1" applyAlignment="1">
      <alignment horizontal="right"/>
    </xf>
    <xf numFmtId="0" fontId="18" fillId="3" borderId="24" xfId="1" applyFont="1" applyFill="1" applyBorder="1" applyAlignment="1" applyProtection="1">
      <alignment horizontal="center"/>
      <protection locked="0"/>
    </xf>
    <xf numFmtId="0" fontId="8" fillId="2" borderId="22" xfId="1" applyFont="1" applyFill="1" applyBorder="1" applyAlignment="1">
      <alignment horizontal="right"/>
    </xf>
    <xf numFmtId="0" fontId="18" fillId="3" borderId="23" xfId="1" applyFont="1" applyFill="1" applyBorder="1" applyAlignment="1" applyProtection="1">
      <alignment horizontal="center"/>
      <protection locked="0"/>
    </xf>
    <xf numFmtId="0" fontId="9" fillId="2" borderId="24" xfId="1" applyFont="1" applyFill="1" applyBorder="1" applyAlignment="1">
      <alignment horizontal="center"/>
    </xf>
    <xf numFmtId="0" fontId="9" fillId="2" borderId="25" xfId="1" applyFont="1" applyFill="1" applyBorder="1" applyAlignment="1">
      <alignment horizontal="center"/>
    </xf>
    <xf numFmtId="0" fontId="9" fillId="2" borderId="38" xfId="1" applyFont="1" applyFill="1" applyBorder="1" applyAlignment="1">
      <alignment horizontal="center"/>
    </xf>
    <xf numFmtId="0" fontId="9" fillId="2" borderId="26" xfId="1" applyFont="1" applyFill="1" applyBorder="1" applyAlignment="1">
      <alignment horizontal="center"/>
    </xf>
    <xf numFmtId="0" fontId="8" fillId="2" borderId="27" xfId="1" applyFont="1" applyFill="1" applyBorder="1" applyAlignment="1">
      <alignment horizontal="center"/>
    </xf>
    <xf numFmtId="0" fontId="18" fillId="3" borderId="55" xfId="1" applyFont="1" applyFill="1" applyBorder="1" applyAlignment="1" applyProtection="1">
      <alignment horizontal="center"/>
      <protection locked="0"/>
    </xf>
    <xf numFmtId="170" fontId="8" fillId="2" borderId="38" xfId="1" applyNumberFormat="1" applyFont="1" applyFill="1" applyBorder="1" applyAlignment="1">
      <alignment horizontal="center"/>
    </xf>
    <xf numFmtId="170" fontId="8" fillId="2" borderId="26" xfId="1" applyNumberFormat="1" applyFont="1" applyFill="1" applyBorder="1" applyAlignment="1">
      <alignment horizontal="center"/>
    </xf>
    <xf numFmtId="0" fontId="8" fillId="2" borderId="23" xfId="1" applyFont="1" applyFill="1" applyBorder="1" applyAlignment="1">
      <alignment horizontal="center"/>
    </xf>
    <xf numFmtId="0" fontId="18" fillId="3" borderId="22" xfId="1" applyFont="1" applyFill="1" applyBorder="1" applyAlignment="1" applyProtection="1">
      <alignment horizontal="center"/>
      <protection locked="0"/>
    </xf>
    <xf numFmtId="170" fontId="8" fillId="2" borderId="39" xfId="1" applyNumberFormat="1" applyFont="1" applyFill="1" applyBorder="1" applyAlignment="1">
      <alignment horizontal="center"/>
    </xf>
    <xf numFmtId="170" fontId="8" fillId="2" borderId="48" xfId="1" applyNumberFormat="1" applyFont="1" applyFill="1" applyBorder="1" applyAlignment="1">
      <alignment horizontal="center"/>
    </xf>
    <xf numFmtId="0" fontId="8" fillId="2" borderId="28" xfId="1" applyFont="1" applyFill="1" applyBorder="1" applyAlignment="1">
      <alignment horizontal="center"/>
    </xf>
    <xf numFmtId="0" fontId="18" fillId="3" borderId="29" xfId="1" applyFont="1" applyFill="1" applyBorder="1" applyAlignment="1" applyProtection="1">
      <alignment horizontal="center"/>
      <protection locked="0"/>
    </xf>
    <xf numFmtId="170" fontId="8" fillId="2" borderId="40" xfId="1" applyNumberFormat="1" applyFont="1" applyFill="1" applyBorder="1" applyAlignment="1">
      <alignment horizontal="center"/>
    </xf>
    <xf numFmtId="170" fontId="8" fillId="2" borderId="49" xfId="1" applyNumberFormat="1" applyFont="1" applyFill="1" applyBorder="1" applyAlignment="1">
      <alignment horizontal="center"/>
    </xf>
    <xf numFmtId="0" fontId="8" fillId="2" borderId="23" xfId="1" applyFont="1" applyFill="1" applyBorder="1" applyAlignment="1">
      <alignment horizontal="right"/>
    </xf>
    <xf numFmtId="1" fontId="9" fillId="6" borderId="51" xfId="1" applyNumberFormat="1" applyFont="1" applyFill="1" applyBorder="1" applyAlignment="1">
      <alignment horizontal="center"/>
    </xf>
    <xf numFmtId="170" fontId="9" fillId="6" borderId="34" xfId="1" applyNumberFormat="1" applyFont="1" applyFill="1" applyBorder="1" applyAlignment="1">
      <alignment horizontal="center"/>
    </xf>
    <xf numFmtId="1" fontId="9" fillId="6" borderId="30" xfId="1" applyNumberFormat="1" applyFont="1" applyFill="1" applyBorder="1" applyAlignment="1">
      <alignment horizontal="center"/>
    </xf>
    <xf numFmtId="170" fontId="9" fillId="6" borderId="31" xfId="1" applyNumberFormat="1" applyFont="1" applyFill="1" applyBorder="1" applyAlignment="1">
      <alignment horizontal="center"/>
    </xf>
    <xf numFmtId="0" fontId="8" fillId="2" borderId="52" xfId="1" applyFont="1" applyFill="1" applyBorder="1" applyAlignment="1">
      <alignment horizontal="right"/>
    </xf>
    <xf numFmtId="0" fontId="18" fillId="3" borderId="56" xfId="1" applyFont="1" applyFill="1" applyBorder="1" applyAlignment="1" applyProtection="1">
      <alignment horizontal="center"/>
      <protection locked="0"/>
    </xf>
    <xf numFmtId="0" fontId="18" fillId="3" borderId="16" xfId="1" applyFont="1" applyFill="1" applyBorder="1" applyAlignment="1" applyProtection="1">
      <alignment horizontal="center"/>
      <protection locked="0"/>
    </xf>
    <xf numFmtId="0" fontId="8" fillId="2" borderId="25" xfId="1" applyFont="1" applyFill="1" applyBorder="1" applyAlignment="1">
      <alignment horizontal="right"/>
    </xf>
    <xf numFmtId="2" fontId="8" fillId="6" borderId="41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6" borderId="32" xfId="1" applyNumberFormat="1" applyFont="1" applyFill="1" applyBorder="1" applyAlignment="1">
      <alignment horizontal="center"/>
    </xf>
    <xf numFmtId="2" fontId="8" fillId="7" borderId="41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2" fontId="8" fillId="7" borderId="32" xfId="1" applyNumberFormat="1" applyFont="1" applyFill="1" applyBorder="1" applyAlignment="1">
      <alignment horizontal="center"/>
    </xf>
    <xf numFmtId="2" fontId="8" fillId="6" borderId="17" xfId="1" applyNumberFormat="1" applyFont="1" applyFill="1" applyBorder="1" applyAlignment="1">
      <alignment horizontal="center"/>
    </xf>
    <xf numFmtId="0" fontId="18" fillId="3" borderId="41" xfId="1" applyFont="1" applyFill="1" applyBorder="1" applyAlignment="1" applyProtection="1">
      <alignment horizontal="center"/>
      <protection locked="0"/>
    </xf>
    <xf numFmtId="1" fontId="8" fillId="2" borderId="0" xfId="1" applyNumberFormat="1" applyFont="1" applyFill="1" applyAlignment="1">
      <alignment horizontal="center"/>
    </xf>
    <xf numFmtId="0" fontId="8" fillId="2" borderId="51" xfId="1" applyFont="1" applyFill="1" applyBorder="1" applyAlignment="1">
      <alignment horizontal="right"/>
    </xf>
    <xf numFmtId="2" fontId="8" fillId="7" borderId="26" xfId="1" applyNumberFormat="1" applyFont="1" applyFill="1" applyBorder="1" applyAlignment="1">
      <alignment horizontal="center"/>
    </xf>
    <xf numFmtId="170" fontId="8" fillId="2" borderId="0" xfId="1" applyNumberFormat="1" applyFont="1" applyFill="1" applyAlignment="1">
      <alignment horizontal="center"/>
    </xf>
    <xf numFmtId="0" fontId="8" fillId="2" borderId="16" xfId="1" applyFont="1" applyFill="1" applyBorder="1" applyAlignment="1">
      <alignment horizontal="right"/>
    </xf>
    <xf numFmtId="170" fontId="9" fillId="7" borderId="16" xfId="1" applyNumberFormat="1" applyFont="1" applyFill="1" applyBorder="1" applyAlignment="1">
      <alignment horizontal="center"/>
    </xf>
    <xf numFmtId="0" fontId="8" fillId="2" borderId="32" xfId="1" applyFont="1" applyFill="1" applyBorder="1" applyAlignment="1">
      <alignment horizontal="right"/>
    </xf>
    <xf numFmtId="10" fontId="8" fillId="6" borderId="32" xfId="1" applyNumberFormat="1" applyFont="1" applyFill="1" applyBorder="1" applyAlignment="1">
      <alignment horizontal="center"/>
    </xf>
    <xf numFmtId="0" fontId="8" fillId="2" borderId="17" xfId="1" applyFont="1" applyFill="1" applyBorder="1" applyAlignment="1">
      <alignment horizontal="right"/>
    </xf>
    <xf numFmtId="0" fontId="8" fillId="7" borderId="17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66" fontId="9" fillId="2" borderId="0" xfId="1" applyNumberFormat="1" applyFont="1" applyFill="1" applyAlignment="1" applyProtection="1">
      <alignment horizontal="center"/>
      <protection locked="0"/>
    </xf>
    <xf numFmtId="2" fontId="9" fillId="2" borderId="13" xfId="1" applyNumberFormat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18" fillId="3" borderId="21" xfId="1" applyFont="1" applyFill="1" applyBorder="1" applyAlignment="1" applyProtection="1">
      <alignment horizontal="center"/>
      <protection locked="0"/>
    </xf>
    <xf numFmtId="2" fontId="8" fillId="2" borderId="21" xfId="1" applyNumberFormat="1" applyFont="1" applyFill="1" applyBorder="1" applyAlignment="1">
      <alignment horizontal="center"/>
    </xf>
    <xf numFmtId="10" fontId="8" fillId="2" borderId="13" xfId="1" applyNumberFormat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/>
    </xf>
    <xf numFmtId="2" fontId="8" fillId="2" borderId="22" xfId="1" applyNumberFormat="1" applyFont="1" applyFill="1" applyBorder="1" applyAlignment="1">
      <alignment horizontal="center"/>
    </xf>
    <xf numFmtId="10" fontId="8" fillId="2" borderId="14" xfId="1" applyNumberFormat="1" applyFont="1" applyFill="1" applyBorder="1" applyAlignment="1">
      <alignment horizontal="center" vertical="center"/>
    </xf>
    <xf numFmtId="0" fontId="8" fillId="2" borderId="15" xfId="1" applyFont="1" applyFill="1" applyBorder="1" applyAlignment="1">
      <alignment horizontal="center"/>
    </xf>
    <xf numFmtId="0" fontId="18" fillId="3" borderId="42" xfId="1" applyFont="1" applyFill="1" applyBorder="1" applyAlignment="1" applyProtection="1">
      <alignment horizontal="center"/>
      <protection locked="0"/>
    </xf>
    <xf numFmtId="2" fontId="8" fillId="2" borderId="13" xfId="1" applyNumberFormat="1" applyFont="1" applyFill="1" applyBorder="1" applyAlignment="1">
      <alignment horizontal="center"/>
    </xf>
    <xf numFmtId="10" fontId="8" fillId="2" borderId="24" xfId="1" applyNumberFormat="1" applyFont="1" applyFill="1" applyBorder="1" applyAlignment="1">
      <alignment horizontal="center" vertical="center"/>
    </xf>
    <xf numFmtId="2" fontId="8" fillId="2" borderId="14" xfId="1" applyNumberFormat="1" applyFont="1" applyFill="1" applyBorder="1" applyAlignment="1">
      <alignment horizontal="center"/>
    </xf>
    <xf numFmtId="10" fontId="8" fillId="2" borderId="23" xfId="1" applyNumberFormat="1" applyFont="1" applyFill="1" applyBorder="1" applyAlignment="1">
      <alignment horizontal="center" vertical="center"/>
    </xf>
    <xf numFmtId="2" fontId="8" fillId="2" borderId="15" xfId="1" applyNumberFormat="1" applyFont="1" applyFill="1" applyBorder="1" applyAlignment="1">
      <alignment horizontal="center"/>
    </xf>
    <xf numFmtId="10" fontId="8" fillId="2" borderId="50" xfId="1" applyNumberFormat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/>
    </xf>
    <xf numFmtId="0" fontId="8" fillId="2" borderId="42" xfId="1" applyFont="1" applyFill="1" applyBorder="1" applyAlignment="1">
      <alignment horizontal="right"/>
    </xf>
    <xf numFmtId="2" fontId="8" fillId="2" borderId="50" xfId="1" applyNumberFormat="1" applyFont="1" applyFill="1" applyBorder="1" applyAlignment="1">
      <alignment horizontal="center"/>
    </xf>
    <xf numFmtId="10" fontId="8" fillId="2" borderId="15" xfId="1" applyNumberFormat="1" applyFont="1" applyFill="1" applyBorder="1" applyAlignment="1">
      <alignment horizontal="center" vertical="center"/>
    </xf>
    <xf numFmtId="0" fontId="8" fillId="2" borderId="33" xfId="1" applyFont="1" applyFill="1" applyBorder="1" applyAlignment="1">
      <alignment horizontal="right"/>
    </xf>
    <xf numFmtId="10" fontId="18" fillId="7" borderId="28" xfId="1" applyNumberFormat="1" applyFont="1" applyFill="1" applyBorder="1" applyAlignment="1">
      <alignment horizontal="center"/>
    </xf>
    <xf numFmtId="10" fontId="18" fillId="6" borderId="57" xfId="1" applyNumberFormat="1" applyFont="1" applyFill="1" applyBorder="1" applyAlignment="1">
      <alignment horizontal="center"/>
    </xf>
    <xf numFmtId="0" fontId="18" fillId="7" borderId="58" xfId="1" applyFont="1" applyFill="1" applyBorder="1" applyAlignment="1">
      <alignment horizontal="center"/>
    </xf>
    <xf numFmtId="165" fontId="9" fillId="2" borderId="0" xfId="1" applyNumberFormat="1" applyFont="1" applyFill="1" applyAlignment="1">
      <alignment horizontal="center"/>
    </xf>
    <xf numFmtId="0" fontId="19" fillId="3" borderId="0" xfId="1" applyFont="1" applyFill="1" applyAlignment="1" applyProtection="1">
      <alignment horizontal="center"/>
      <protection locked="0"/>
    </xf>
    <xf numFmtId="0" fontId="9" fillId="2" borderId="35" xfId="1" applyFont="1" applyFill="1" applyBorder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8" fillId="2" borderId="45" xfId="1" applyFont="1" applyFill="1" applyBorder="1" applyAlignment="1">
      <alignment horizontal="center"/>
    </xf>
    <xf numFmtId="0" fontId="8" fillId="2" borderId="7" xfId="1" applyFont="1" applyFill="1" applyBorder="1" applyAlignment="1">
      <alignment horizontal="center"/>
    </xf>
    <xf numFmtId="170" fontId="18" fillId="3" borderId="29" xfId="1" applyNumberFormat="1" applyFont="1" applyFill="1" applyBorder="1" applyAlignment="1" applyProtection="1">
      <alignment horizontal="center"/>
      <protection locked="0"/>
    </xf>
    <xf numFmtId="1" fontId="9" fillId="6" borderId="53" xfId="1" applyNumberFormat="1" applyFont="1" applyFill="1" applyBorder="1" applyAlignment="1">
      <alignment horizontal="center"/>
    </xf>
    <xf numFmtId="1" fontId="9" fillId="6" borderId="46" xfId="1" applyNumberFormat="1" applyFont="1" applyFill="1" applyBorder="1" applyAlignment="1">
      <alignment horizontal="center"/>
    </xf>
    <xf numFmtId="1" fontId="9" fillId="6" borderId="15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 wrapText="1"/>
    </xf>
    <xf numFmtId="10" fontId="8" fillId="2" borderId="0" xfId="1" applyNumberFormat="1" applyFont="1" applyFill="1" applyAlignment="1">
      <alignment horizontal="center"/>
    </xf>
    <xf numFmtId="10" fontId="9" fillId="6" borderId="32" xfId="1" applyNumberFormat="1" applyFont="1" applyFill="1" applyBorder="1" applyAlignment="1">
      <alignment horizontal="center"/>
    </xf>
    <xf numFmtId="0" fontId="9" fillId="7" borderId="17" xfId="1" applyFont="1" applyFill="1" applyBorder="1" applyAlignment="1">
      <alignment horizontal="center"/>
    </xf>
    <xf numFmtId="0" fontId="9" fillId="2" borderId="36" xfId="1" applyFont="1" applyFill="1" applyBorder="1" applyAlignment="1">
      <alignment horizontal="center"/>
    </xf>
    <xf numFmtId="0" fontId="9" fillId="2" borderId="37" xfId="1" applyFont="1" applyFill="1" applyBorder="1"/>
    <xf numFmtId="0" fontId="9" fillId="2" borderId="24" xfId="1" applyFont="1" applyFill="1" applyBorder="1" applyAlignment="1">
      <alignment horizontal="center" wrapText="1"/>
    </xf>
    <xf numFmtId="0" fontId="8" fillId="2" borderId="22" xfId="1" applyFont="1" applyFill="1" applyBorder="1" applyAlignment="1">
      <alignment horizontal="center"/>
    </xf>
    <xf numFmtId="1" fontId="18" fillId="3" borderId="39" xfId="1" applyNumberFormat="1" applyFont="1" applyFill="1" applyBorder="1" applyAlignment="1" applyProtection="1">
      <alignment horizontal="center"/>
      <protection locked="0"/>
    </xf>
    <xf numFmtId="2" fontId="8" fillId="2" borderId="38" xfId="1" applyNumberFormat="1" applyFont="1" applyFill="1" applyBorder="1" applyAlignment="1">
      <alignment horizontal="center"/>
    </xf>
    <xf numFmtId="10" fontId="8" fillId="2" borderId="26" xfId="1" applyNumberFormat="1" applyFont="1" applyFill="1" applyBorder="1" applyAlignment="1">
      <alignment horizontal="center"/>
    </xf>
    <xf numFmtId="2" fontId="8" fillId="2" borderId="39" xfId="1" applyNumberFormat="1" applyFont="1" applyFill="1" applyBorder="1" applyAlignment="1">
      <alignment horizontal="center"/>
    </xf>
    <xf numFmtId="10" fontId="8" fillId="2" borderId="48" xfId="1" applyNumberFormat="1" applyFont="1" applyFill="1" applyBorder="1" applyAlignment="1">
      <alignment horizontal="center"/>
    </xf>
    <xf numFmtId="0" fontId="8" fillId="2" borderId="29" xfId="1" applyFont="1" applyFill="1" applyBorder="1" applyAlignment="1">
      <alignment horizontal="center"/>
    </xf>
    <xf numFmtId="1" fontId="18" fillId="3" borderId="40" xfId="1" applyNumberFormat="1" applyFont="1" applyFill="1" applyBorder="1" applyAlignment="1" applyProtection="1">
      <alignment horizontal="center"/>
      <protection locked="0"/>
    </xf>
    <xf numFmtId="2" fontId="8" fillId="2" borderId="40" xfId="1" applyNumberFormat="1" applyFont="1" applyFill="1" applyBorder="1" applyAlignment="1">
      <alignment horizontal="center"/>
    </xf>
    <xf numFmtId="10" fontId="8" fillId="2" borderId="49" xfId="1" applyNumberFormat="1" applyFont="1" applyFill="1" applyBorder="1" applyAlignment="1">
      <alignment horizontal="center"/>
    </xf>
    <xf numFmtId="2" fontId="8" fillId="2" borderId="23" xfId="1" applyNumberFormat="1" applyFont="1" applyFill="1" applyBorder="1" applyAlignment="1">
      <alignment horizontal="center"/>
    </xf>
    <xf numFmtId="170" fontId="9" fillId="2" borderId="0" xfId="1" applyNumberFormat="1" applyFont="1" applyFill="1" applyAlignment="1">
      <alignment horizontal="center"/>
    </xf>
    <xf numFmtId="170" fontId="8" fillId="2" borderId="2" xfId="1" applyNumberFormat="1" applyFont="1" applyFill="1" applyBorder="1" applyAlignment="1">
      <alignment horizontal="right"/>
    </xf>
    <xf numFmtId="10" fontId="9" fillId="7" borderId="41" xfId="1" applyNumberFormat="1" applyFont="1" applyFill="1" applyBorder="1" applyAlignment="1">
      <alignment horizontal="center"/>
    </xf>
    <xf numFmtId="0" fontId="8" fillId="2" borderId="22" xfId="1" applyFont="1" applyFill="1" applyBorder="1"/>
    <xf numFmtId="0" fontId="8" fillId="2" borderId="6" xfId="1" applyFont="1" applyFill="1" applyBorder="1"/>
    <xf numFmtId="10" fontId="9" fillId="6" borderId="41" xfId="1" applyNumberFormat="1" applyFont="1" applyFill="1" applyBorder="1" applyAlignment="1">
      <alignment horizontal="center"/>
    </xf>
    <xf numFmtId="0" fontId="8" fillId="2" borderId="42" xfId="1" applyFont="1" applyFill="1" applyBorder="1"/>
    <xf numFmtId="0" fontId="8" fillId="2" borderId="43" xfId="1" applyFont="1" applyFill="1" applyBorder="1" applyAlignment="1">
      <alignment horizontal="center"/>
    </xf>
    <xf numFmtId="0" fontId="8" fillId="2" borderId="44" xfId="1" applyFont="1" applyFill="1" applyBorder="1" applyAlignment="1">
      <alignment horizontal="right"/>
    </xf>
    <xf numFmtId="2" fontId="8" fillId="2" borderId="4" xfId="1" applyNumberFormat="1" applyFont="1" applyFill="1" applyBorder="1" applyAlignment="1">
      <alignment horizontal="center"/>
    </xf>
    <xf numFmtId="10" fontId="8" fillId="2" borderId="27" xfId="1" applyNumberFormat="1" applyFont="1" applyFill="1" applyBorder="1" applyAlignment="1">
      <alignment horizontal="center"/>
    </xf>
    <xf numFmtId="2" fontId="8" fillId="2" borderId="3" xfId="1" applyNumberFormat="1" applyFont="1" applyFill="1" applyBorder="1" applyAlignment="1">
      <alignment horizontal="center"/>
    </xf>
    <xf numFmtId="10" fontId="8" fillId="2" borderId="23" xfId="1" applyNumberFormat="1" applyFont="1" applyFill="1" applyBorder="1" applyAlignment="1">
      <alignment horizontal="center"/>
    </xf>
    <xf numFmtId="2" fontId="8" fillId="2" borderId="5" xfId="1" applyNumberFormat="1" applyFont="1" applyFill="1" applyBorder="1" applyAlignment="1">
      <alignment horizontal="center"/>
    </xf>
    <xf numFmtId="10" fontId="8" fillId="2" borderId="28" xfId="1" applyNumberFormat="1" applyFont="1" applyFill="1" applyBorder="1" applyAlignment="1">
      <alignment horizontal="center"/>
    </xf>
    <xf numFmtId="10" fontId="18" fillId="7" borderId="41" xfId="1" applyNumberFormat="1" applyFont="1" applyFill="1" applyBorder="1" applyAlignment="1">
      <alignment horizontal="center"/>
    </xf>
    <xf numFmtId="10" fontId="18" fillId="6" borderId="41" xfId="1" applyNumberFormat="1" applyFont="1" applyFill="1" applyBorder="1" applyAlignment="1">
      <alignment horizontal="center"/>
    </xf>
    <xf numFmtId="0" fontId="18" fillId="7" borderId="17" xfId="1" applyFont="1" applyFill="1" applyBorder="1" applyAlignment="1">
      <alignment horizontal="center"/>
    </xf>
    <xf numFmtId="165" fontId="18" fillId="2" borderId="0" xfId="1" applyNumberFormat="1" applyFont="1" applyFill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 applyProtection="1">
      <protection locked="0"/>
    </xf>
    <xf numFmtId="0" fontId="8" fillId="2" borderId="7" xfId="1" applyFont="1" applyFill="1" applyBorder="1"/>
    <xf numFmtId="0" fontId="9" fillId="2" borderId="11" xfId="1" applyFont="1" applyFill="1" applyBorder="1" applyProtection="1">
      <protection locked="0"/>
    </xf>
    <xf numFmtId="0" fontId="9" fillId="2" borderId="11" xfId="1" applyFont="1" applyFill="1" applyBorder="1"/>
    <xf numFmtId="0" fontId="8" fillId="2" borderId="11" xfId="1" applyFont="1" applyFill="1" applyBorder="1"/>
    <xf numFmtId="14" fontId="1" fillId="2" borderId="10" xfId="1" applyNumberFormat="1" applyFont="1" applyFill="1" applyBorder="1" applyAlignment="1">
      <alignment horizontal="center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1" fillId="2" borderId="0" xfId="2" applyFill="1"/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14" fontId="2" fillId="2" borderId="7" xfId="2" applyNumberFormat="1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10" xfId="2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2" fillId="3" borderId="3" xfId="1" applyFont="1" applyFill="1" applyBorder="1" applyAlignment="1" applyProtection="1">
      <alignment horizontal="center"/>
      <protection locked="0"/>
    </xf>
    <xf numFmtId="2" fontId="22" fillId="3" borderId="3" xfId="1" applyNumberFormat="1" applyFont="1" applyFill="1" applyBorder="1" applyAlignment="1" applyProtection="1">
      <alignment horizontal="center"/>
      <protection locked="0"/>
    </xf>
    <xf numFmtId="2" fontId="22" fillId="3" borderId="4" xfId="1" applyNumberFormat="1" applyFont="1" applyFill="1" applyBorder="1" applyAlignment="1" applyProtection="1">
      <alignment horizontal="center"/>
      <protection locked="0"/>
    </xf>
    <xf numFmtId="0" fontId="22" fillId="3" borderId="5" xfId="1" applyFont="1" applyFill="1" applyBorder="1" applyAlignment="1" applyProtection="1">
      <alignment horizontal="center"/>
      <protection locked="0"/>
    </xf>
    <xf numFmtId="171" fontId="22" fillId="3" borderId="5" xfId="1" applyNumberFormat="1" applyFont="1" applyFill="1" applyBorder="1" applyAlignment="1" applyProtection="1">
      <alignment horizontal="center"/>
      <protection locked="0"/>
    </xf>
    <xf numFmtId="2" fontId="22" fillId="3" borderId="5" xfId="1" applyNumberFormat="1" applyFont="1" applyFill="1" applyBorder="1" applyAlignment="1" applyProtection="1">
      <alignment horizontal="center"/>
      <protection locked="0"/>
    </xf>
    <xf numFmtId="0" fontId="23" fillId="2" borderId="0" xfId="1" applyFont="1" applyFill="1"/>
    <xf numFmtId="10" fontId="2" fillId="2" borderId="0" xfId="1" applyNumberFormat="1" applyFont="1" applyFill="1" applyBorder="1"/>
    <xf numFmtId="0" fontId="25" fillId="3" borderId="0" xfId="0" applyFont="1" applyFill="1" applyAlignment="1" applyProtection="1">
      <alignment horizontal="left"/>
      <protection locked="0"/>
    </xf>
    <xf numFmtId="172" fontId="25" fillId="3" borderId="0" xfId="0" applyNumberFormat="1" applyFont="1" applyFill="1" applyAlignment="1" applyProtection="1">
      <alignment horizontal="center"/>
      <protection locked="0"/>
    </xf>
    <xf numFmtId="2" fontId="26" fillId="3" borderId="0" xfId="0" applyNumberFormat="1" applyFont="1" applyFill="1" applyAlignment="1" applyProtection="1">
      <alignment horizontal="center"/>
      <protection locked="0"/>
    </xf>
    <xf numFmtId="0" fontId="27" fillId="2" borderId="0" xfId="4" applyFont="1" applyFill="1"/>
    <xf numFmtId="0" fontId="28" fillId="2" borderId="0" xfId="4" applyFont="1" applyFill="1" applyAlignment="1">
      <alignment wrapText="1"/>
    </xf>
    <xf numFmtId="0" fontId="29" fillId="2" borderId="0" xfId="4" applyFont="1" applyFill="1"/>
    <xf numFmtId="0" fontId="23" fillId="2" borderId="0" xfId="4" applyFont="1" applyFill="1"/>
    <xf numFmtId="167" fontId="23" fillId="2" borderId="0" xfId="4" applyNumberFormat="1" applyFont="1" applyFill="1" applyAlignment="1">
      <alignment horizontal="center"/>
    </xf>
    <xf numFmtId="0" fontId="24" fillId="2" borderId="0" xfId="4" applyFont="1" applyFill="1" applyAlignment="1">
      <alignment horizontal="right"/>
    </xf>
    <xf numFmtId="167" fontId="23" fillId="2" borderId="0" xfId="4" applyNumberFormat="1" applyFont="1" applyFill="1"/>
    <xf numFmtId="0" fontId="29" fillId="2" borderId="0" xfId="4" applyFont="1" applyFill="1" applyAlignment="1">
      <alignment horizontal="left"/>
    </xf>
    <xf numFmtId="0" fontId="30" fillId="2" borderId="0" xfId="4" applyFont="1" applyFill="1"/>
    <xf numFmtId="164" fontId="27" fillId="2" borderId="0" xfId="4" applyNumberFormat="1" applyFont="1" applyFill="1"/>
    <xf numFmtId="164" fontId="24" fillId="2" borderId="12" xfId="4" applyNumberFormat="1" applyFont="1" applyFill="1" applyBorder="1" applyAlignment="1">
      <alignment horizontal="center" wrapText="1"/>
    </xf>
    <xf numFmtId="0" fontId="24" fillId="2" borderId="12" xfId="4" applyFont="1" applyFill="1" applyBorder="1" applyAlignment="1">
      <alignment horizontal="center" wrapText="1"/>
    </xf>
    <xf numFmtId="0" fontId="31" fillId="2" borderId="0" xfId="4" applyFont="1" applyFill="1" applyAlignment="1">
      <alignment horizontal="center"/>
    </xf>
    <xf numFmtId="2" fontId="23" fillId="3" borderId="14" xfId="4" applyNumberFormat="1" applyFont="1" applyFill="1" applyBorder="1" applyProtection="1">
      <protection locked="0"/>
    </xf>
    <xf numFmtId="10" fontId="23" fillId="2" borderId="13" xfId="4" applyNumberFormat="1" applyFont="1" applyFill="1" applyBorder="1" applyAlignment="1">
      <alignment horizontal="center"/>
    </xf>
    <xf numFmtId="10" fontId="23" fillId="2" borderId="0" xfId="4" applyNumberFormat="1" applyFont="1" applyFill="1" applyAlignment="1">
      <alignment horizontal="center"/>
    </xf>
    <xf numFmtId="10" fontId="23" fillId="2" borderId="14" xfId="4" applyNumberFormat="1" applyFont="1" applyFill="1" applyBorder="1" applyAlignment="1">
      <alignment horizontal="center"/>
    </xf>
    <xf numFmtId="2" fontId="23" fillId="3" borderId="15" xfId="4" applyNumberFormat="1" applyFont="1" applyFill="1" applyBorder="1" applyProtection="1">
      <protection locked="0"/>
    </xf>
    <xf numFmtId="10" fontId="23" fillId="2" borderId="15" xfId="4" applyNumberFormat="1" applyFont="1" applyFill="1" applyBorder="1" applyAlignment="1">
      <alignment horizontal="center"/>
    </xf>
    <xf numFmtId="166" fontId="31" fillId="2" borderId="0" xfId="4" applyNumberFormat="1" applyFont="1" applyFill="1" applyAlignment="1">
      <alignment horizontal="center"/>
    </xf>
    <xf numFmtId="10" fontId="31" fillId="2" borderId="0" xfId="4" applyNumberFormat="1" applyFont="1" applyFill="1" applyAlignment="1">
      <alignment horizontal="center"/>
    </xf>
    <xf numFmtId="0" fontId="23" fillId="2" borderId="12" xfId="4" applyFont="1" applyFill="1" applyBorder="1" applyAlignment="1">
      <alignment horizontal="right" vertical="center"/>
    </xf>
    <xf numFmtId="166" fontId="23" fillId="2" borderId="12" xfId="4" applyNumberFormat="1" applyFont="1" applyFill="1" applyBorder="1" applyAlignment="1">
      <alignment horizontal="center" vertical="center"/>
    </xf>
    <xf numFmtId="166" fontId="23" fillId="2" borderId="0" xfId="4" applyNumberFormat="1" applyFont="1" applyFill="1" applyAlignment="1">
      <alignment horizontal="center"/>
    </xf>
    <xf numFmtId="164" fontId="24" fillId="2" borderId="12" xfId="4" applyNumberFormat="1" applyFont="1" applyFill="1" applyBorder="1" applyAlignment="1">
      <alignment horizontal="center" vertical="center"/>
    </xf>
    <xf numFmtId="2" fontId="32" fillId="2" borderId="0" xfId="4" applyNumberFormat="1" applyFont="1" applyFill="1" applyAlignment="1">
      <alignment horizontal="right"/>
    </xf>
    <xf numFmtId="2" fontId="24" fillId="2" borderId="0" xfId="4" applyNumberFormat="1" applyFont="1" applyFill="1"/>
    <xf numFmtId="2" fontId="32" fillId="2" borderId="0" xfId="4" applyNumberFormat="1" applyFont="1" applyFill="1"/>
    <xf numFmtId="0" fontId="24" fillId="2" borderId="12" xfId="4" applyFont="1" applyFill="1" applyBorder="1" applyAlignment="1">
      <alignment horizontal="center" vertical="center"/>
    </xf>
    <xf numFmtId="10" fontId="31" fillId="2" borderId="0" xfId="4" applyNumberFormat="1" applyFont="1" applyFill="1"/>
    <xf numFmtId="165" fontId="24" fillId="2" borderId="16" xfId="4" applyNumberFormat="1" applyFont="1" applyFill="1" applyBorder="1" applyAlignment="1">
      <alignment horizontal="center"/>
    </xf>
    <xf numFmtId="2" fontId="24" fillId="2" borderId="12" xfId="4" applyNumberFormat="1" applyFont="1" applyFill="1" applyBorder="1" applyAlignment="1">
      <alignment horizontal="center" vertical="center"/>
    </xf>
    <xf numFmtId="165" fontId="24" fillId="2" borderId="17" xfId="4" applyNumberFormat="1" applyFont="1" applyFill="1" applyBorder="1" applyAlignment="1">
      <alignment horizontal="center"/>
    </xf>
    <xf numFmtId="0" fontId="23" fillId="2" borderId="9" xfId="4" applyFont="1" applyFill="1" applyBorder="1"/>
    <xf numFmtId="0" fontId="23" fillId="2" borderId="0" xfId="4" applyFont="1" applyFill="1" applyAlignment="1">
      <alignment horizontal="center"/>
    </xf>
    <xf numFmtId="10" fontId="23" fillId="2" borderId="9" xfId="4" applyNumberFormat="1" applyFont="1" applyFill="1" applyBorder="1"/>
    <xf numFmtId="0" fontId="24" fillId="2" borderId="10" xfId="4" applyFont="1" applyFill="1" applyBorder="1"/>
    <xf numFmtId="0" fontId="24" fillId="2" borderId="10" xfId="4" applyFont="1" applyFill="1" applyBorder="1" applyAlignment="1">
      <alignment horizontal="center"/>
    </xf>
    <xf numFmtId="0" fontId="23" fillId="2" borderId="10" xfId="4" applyFont="1" applyFill="1" applyBorder="1" applyAlignment="1">
      <alignment horizontal="center"/>
    </xf>
    <xf numFmtId="0" fontId="23" fillId="2" borderId="7" xfId="4" applyFont="1" applyFill="1" applyBorder="1"/>
    <xf numFmtId="0" fontId="24" fillId="2" borderId="11" xfId="4" applyFont="1" applyFill="1" applyBorder="1"/>
    <xf numFmtId="0" fontId="24" fillId="2" borderId="0" xfId="4" applyFont="1" applyFill="1"/>
    <xf numFmtId="0" fontId="23" fillId="2" borderId="11" xfId="4" applyFont="1" applyFill="1" applyBorder="1"/>
    <xf numFmtId="0" fontId="21" fillId="2" borderId="0" xfId="4" applyFill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4" fillId="2" borderId="0" xfId="4" applyFont="1" applyFill="1" applyAlignment="1">
      <alignment horizontal="right"/>
    </xf>
    <xf numFmtId="0" fontId="29" fillId="2" borderId="0" xfId="4" applyFont="1" applyFill="1" applyAlignment="1">
      <alignment horizontal="center"/>
    </xf>
    <xf numFmtId="164" fontId="27" fillId="2" borderId="0" xfId="4" applyNumberFormat="1" applyFont="1" applyFill="1" applyAlignment="1">
      <alignment horizontal="center"/>
    </xf>
    <xf numFmtId="166" fontId="24" fillId="2" borderId="13" xfId="4" applyNumberFormat="1" applyFont="1" applyFill="1" applyBorder="1" applyAlignment="1">
      <alignment horizontal="center" vertical="center"/>
    </xf>
    <xf numFmtId="166" fontId="24" fillId="2" borderId="15" xfId="4" applyNumberFormat="1" applyFont="1" applyFill="1" applyBorder="1" applyAlignment="1">
      <alignment horizontal="center" vertical="center"/>
    </xf>
    <xf numFmtId="0" fontId="28" fillId="2" borderId="18" xfId="4" applyFont="1" applyFill="1" applyBorder="1" applyAlignment="1">
      <alignment horizontal="center" wrapText="1"/>
    </xf>
    <xf numFmtId="0" fontId="28" fillId="2" borderId="19" xfId="4" applyFont="1" applyFill="1" applyBorder="1" applyAlignment="1">
      <alignment horizontal="center" wrapText="1"/>
    </xf>
    <xf numFmtId="0" fontId="28" fillId="2" borderId="20" xfId="4" applyFont="1" applyFill="1" applyBorder="1" applyAlignment="1">
      <alignment horizontal="center" wrapText="1"/>
    </xf>
    <xf numFmtId="0" fontId="14" fillId="2" borderId="18" xfId="1" applyFont="1" applyFill="1" applyBorder="1" applyAlignment="1">
      <alignment horizontal="left" vertical="center" wrapText="1"/>
    </xf>
    <xf numFmtId="0" fontId="14" fillId="2" borderId="19" xfId="1" applyFont="1" applyFill="1" applyBorder="1" applyAlignment="1">
      <alignment horizontal="left" vertical="center" wrapText="1"/>
    </xf>
    <xf numFmtId="0" fontId="14" fillId="2" borderId="20" xfId="1" applyFont="1" applyFill="1" applyBorder="1" applyAlignment="1">
      <alignment horizontal="left" vertical="center" wrapText="1"/>
    </xf>
    <xf numFmtId="0" fontId="15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9" fillId="3" borderId="0" xfId="1" applyFont="1" applyFill="1" applyAlignment="1" applyProtection="1">
      <alignment horizontal="left"/>
      <protection locked="0"/>
    </xf>
    <xf numFmtId="0" fontId="14" fillId="2" borderId="18" xfId="1" applyFont="1" applyFill="1" applyBorder="1" applyAlignment="1">
      <alignment horizontal="justify" vertical="center" wrapText="1"/>
    </xf>
    <xf numFmtId="0" fontId="14" fillId="2" borderId="19" xfId="1" applyFont="1" applyFill="1" applyBorder="1" applyAlignment="1">
      <alignment horizontal="justify" vertical="center" wrapText="1"/>
    </xf>
    <xf numFmtId="0" fontId="14" fillId="2" borderId="20" xfId="1" applyFont="1" applyFill="1" applyBorder="1" applyAlignment="1">
      <alignment horizontal="justify" vertical="center" wrapText="1"/>
    </xf>
    <xf numFmtId="0" fontId="9" fillId="2" borderId="35" xfId="1" applyFont="1" applyFill="1" applyBorder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54" xfId="1" applyFont="1" applyFill="1" applyBorder="1" applyAlignment="1">
      <alignment horizontal="center"/>
    </xf>
    <xf numFmtId="0" fontId="14" fillId="2" borderId="21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42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8" fillId="3" borderId="13" xfId="1" applyNumberFormat="1" applyFont="1" applyFill="1" applyBorder="1" applyAlignment="1" applyProtection="1">
      <alignment horizontal="center" vertical="center"/>
      <protection locked="0"/>
    </xf>
    <xf numFmtId="2" fontId="18" fillId="3" borderId="14" xfId="1" applyNumberFormat="1" applyFont="1" applyFill="1" applyBorder="1" applyAlignment="1" applyProtection="1">
      <alignment horizontal="center" vertical="center"/>
      <protection locked="0"/>
    </xf>
    <xf numFmtId="2" fontId="18" fillId="3" borderId="15" xfId="1" applyNumberFormat="1" applyFont="1" applyFill="1" applyBorder="1" applyAlignment="1" applyProtection="1">
      <alignment horizontal="center" vertical="center"/>
      <protection locked="0"/>
    </xf>
    <xf numFmtId="0" fontId="14" fillId="2" borderId="24" xfId="1" applyFont="1" applyFill="1" applyBorder="1" applyAlignment="1">
      <alignment horizontal="left" vertical="center" wrapText="1"/>
    </xf>
    <xf numFmtId="0" fontId="14" fillId="2" borderId="50" xfId="1" applyFont="1" applyFill="1" applyBorder="1" applyAlignment="1">
      <alignment horizontal="left" vertical="center" wrapText="1"/>
    </xf>
    <xf numFmtId="0" fontId="9" fillId="2" borderId="42" xfId="1" applyFont="1" applyFill="1" applyBorder="1" applyAlignment="1">
      <alignment horizontal="center" vertical="center"/>
    </xf>
    <xf numFmtId="0" fontId="14" fillId="2" borderId="21" xfId="1" applyFont="1" applyFill="1" applyBorder="1" applyAlignment="1">
      <alignment horizontal="center" vertical="center" wrapText="1"/>
    </xf>
    <xf numFmtId="0" fontId="14" fillId="2" borderId="24" xfId="1" applyFont="1" applyFill="1" applyBorder="1" applyAlignment="1">
      <alignment horizontal="center" vertical="center" wrapText="1"/>
    </xf>
    <xf numFmtId="0" fontId="14" fillId="2" borderId="42" xfId="1" applyFont="1" applyFill="1" applyBorder="1" applyAlignment="1">
      <alignment horizontal="center" vertical="center" wrapText="1"/>
    </xf>
    <xf numFmtId="0" fontId="14" fillId="2" borderId="50" xfId="1" applyFont="1" applyFill="1" applyBorder="1" applyAlignment="1">
      <alignment horizontal="center" vertical="center" wrapText="1"/>
    </xf>
    <xf numFmtId="0" fontId="9" fillId="2" borderId="0" xfId="1" applyFont="1" applyFill="1" applyAlignment="1">
      <alignment horizontal="center"/>
    </xf>
    <xf numFmtId="0" fontId="9" fillId="2" borderId="10" xfId="1" applyFont="1" applyFill="1" applyBorder="1" applyAlignment="1">
      <alignment horizontal="center"/>
    </xf>
    <xf numFmtId="2" fontId="18" fillId="3" borderId="16" xfId="1" applyNumberFormat="1" applyFont="1" applyFill="1" applyBorder="1" applyAlignment="1" applyProtection="1">
      <alignment horizontal="center"/>
      <protection locked="0"/>
    </xf>
    <xf numFmtId="9" fontId="8" fillId="2" borderId="23" xfId="1" applyNumberFormat="1" applyFont="1" applyFill="1" applyBorder="1" applyAlignment="1">
      <alignment horizontal="center"/>
    </xf>
    <xf numFmtId="10" fontId="9" fillId="7" borderId="17" xfId="1" applyNumberFormat="1" applyFont="1" applyFill="1" applyBorder="1" applyAlignment="1">
      <alignment horizontal="center"/>
    </xf>
    <xf numFmtId="9" fontId="8" fillId="2" borderId="27" xfId="1" applyNumberFormat="1" applyFont="1" applyFill="1" applyBorder="1" applyAlignment="1">
      <alignment horizontal="center"/>
    </xf>
    <xf numFmtId="9" fontId="8" fillId="2" borderId="28" xfId="1" applyNumberFormat="1" applyFont="1" applyFill="1" applyBorder="1" applyAlignment="1">
      <alignment horizontal="center"/>
    </xf>
    <xf numFmtId="9" fontId="18" fillId="7" borderId="41" xfId="1" applyNumberFormat="1" applyFont="1" applyFill="1" applyBorder="1" applyAlignment="1">
      <alignment horizontal="center"/>
    </xf>
    <xf numFmtId="10" fontId="18" fillId="7" borderId="17" xfId="1" applyNumberFormat="1" applyFont="1" applyFill="1" applyBorder="1" applyAlignment="1">
      <alignment horizontal="center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202" customWidth="1"/>
    <col min="2" max="2" width="20.42578125" style="202" customWidth="1"/>
    <col min="3" max="3" width="31.85546875" style="202" customWidth="1"/>
    <col min="4" max="4" width="25.85546875" style="202" customWidth="1"/>
    <col min="5" max="5" width="25.7109375" style="202" customWidth="1"/>
    <col min="6" max="6" width="23.140625" style="202" customWidth="1"/>
    <col min="7" max="7" width="28.42578125" style="202" customWidth="1"/>
    <col min="8" max="8" width="21.5703125" style="202" customWidth="1"/>
    <col min="9" max="9" width="9.140625" style="202" customWidth="1"/>
    <col min="10" max="16384" width="9.140625" style="238"/>
  </cols>
  <sheetData>
    <row r="14" spans="1:6" ht="15" customHeight="1" x14ac:dyDescent="0.3">
      <c r="A14" s="201"/>
      <c r="C14" s="203"/>
      <c r="F14" s="203"/>
    </row>
    <row r="15" spans="1:6" ht="18.75" customHeight="1" x14ac:dyDescent="0.3">
      <c r="A15" s="302" t="s">
        <v>0</v>
      </c>
      <c r="B15" s="302"/>
      <c r="C15" s="302"/>
      <c r="D15" s="302"/>
      <c r="E15" s="302"/>
    </row>
    <row r="16" spans="1:6" ht="16.5" customHeight="1" x14ac:dyDescent="0.3">
      <c r="A16" s="204" t="s">
        <v>1</v>
      </c>
      <c r="B16" s="205" t="s">
        <v>2</v>
      </c>
    </row>
    <row r="17" spans="1:5" ht="16.5" customHeight="1" x14ac:dyDescent="0.3">
      <c r="A17" s="206" t="s">
        <v>3</v>
      </c>
      <c r="B17" s="206" t="s">
        <v>112</v>
      </c>
      <c r="D17" s="207"/>
      <c r="E17" s="208"/>
    </row>
    <row r="18" spans="1:5" ht="16.5" customHeight="1" x14ac:dyDescent="0.3">
      <c r="A18" s="209" t="s">
        <v>4</v>
      </c>
      <c r="B18" s="206" t="s">
        <v>119</v>
      </c>
      <c r="C18" s="208"/>
      <c r="D18" s="208"/>
      <c r="E18" s="208"/>
    </row>
    <row r="19" spans="1:5" ht="16.5" customHeight="1" x14ac:dyDescent="0.3">
      <c r="A19" s="209" t="s">
        <v>5</v>
      </c>
      <c r="B19" s="210">
        <v>99.6</v>
      </c>
      <c r="C19" s="208"/>
      <c r="D19" s="208"/>
      <c r="E19" s="208"/>
    </row>
    <row r="20" spans="1:5" ht="16.5" customHeight="1" x14ac:dyDescent="0.3">
      <c r="A20" s="206" t="s">
        <v>6</v>
      </c>
      <c r="B20" s="210">
        <v>10.58</v>
      </c>
      <c r="C20" s="208"/>
      <c r="D20" s="208"/>
      <c r="E20" s="208"/>
    </row>
    <row r="21" spans="1:5" ht="16.5" customHeight="1" x14ac:dyDescent="0.3">
      <c r="A21" s="206" t="s">
        <v>7</v>
      </c>
      <c r="B21" s="211">
        <f>10.58/50</f>
        <v>0.21160000000000001</v>
      </c>
      <c r="C21" s="208"/>
      <c r="D21" s="208"/>
      <c r="E21" s="208"/>
    </row>
    <row r="22" spans="1:5" ht="15.75" customHeight="1" x14ac:dyDescent="0.25">
      <c r="A22" s="208"/>
      <c r="B22" s="208"/>
      <c r="C22" s="208"/>
      <c r="D22" s="208"/>
      <c r="E22" s="208"/>
    </row>
    <row r="23" spans="1:5" ht="16.5" customHeight="1" x14ac:dyDescent="0.3">
      <c r="A23" s="212" t="s">
        <v>8</v>
      </c>
      <c r="B23" s="213" t="s">
        <v>9</v>
      </c>
      <c r="C23" s="212" t="s">
        <v>10</v>
      </c>
      <c r="D23" s="212" t="s">
        <v>11</v>
      </c>
      <c r="E23" s="212" t="s">
        <v>12</v>
      </c>
    </row>
    <row r="24" spans="1:5" ht="16.5" customHeight="1" x14ac:dyDescent="0.3">
      <c r="A24" s="214">
        <v>1</v>
      </c>
      <c r="B24" s="247">
        <v>70875954</v>
      </c>
      <c r="C24" s="247">
        <v>2248.9</v>
      </c>
      <c r="D24" s="248">
        <v>1</v>
      </c>
      <c r="E24" s="249">
        <v>4.4000000000000004</v>
      </c>
    </row>
    <row r="25" spans="1:5" ht="16.5" customHeight="1" x14ac:dyDescent="0.3">
      <c r="A25" s="214">
        <v>2</v>
      </c>
      <c r="B25" s="247">
        <v>70815030</v>
      </c>
      <c r="C25" s="247">
        <v>2249.6</v>
      </c>
      <c r="D25" s="248">
        <v>1</v>
      </c>
      <c r="E25" s="248">
        <v>4.4000000000000004</v>
      </c>
    </row>
    <row r="26" spans="1:5" ht="16.5" customHeight="1" x14ac:dyDescent="0.3">
      <c r="A26" s="214">
        <v>3</v>
      </c>
      <c r="B26" s="247">
        <v>70661155</v>
      </c>
      <c r="C26" s="247">
        <v>2243.6</v>
      </c>
      <c r="D26" s="248">
        <v>1</v>
      </c>
      <c r="E26" s="248">
        <v>4.4000000000000004</v>
      </c>
    </row>
    <row r="27" spans="1:5" ht="16.5" customHeight="1" x14ac:dyDescent="0.3">
      <c r="A27" s="214">
        <v>4</v>
      </c>
      <c r="B27" s="247">
        <v>70647588</v>
      </c>
      <c r="C27" s="247">
        <v>2246.6</v>
      </c>
      <c r="D27" s="248">
        <v>1</v>
      </c>
      <c r="E27" s="248">
        <v>4.4000000000000004</v>
      </c>
    </row>
    <row r="28" spans="1:5" ht="16.5" customHeight="1" x14ac:dyDescent="0.3">
      <c r="A28" s="214">
        <v>5</v>
      </c>
      <c r="B28" s="247">
        <v>70333171</v>
      </c>
      <c r="C28" s="247">
        <v>2237.5</v>
      </c>
      <c r="D28" s="248">
        <v>1</v>
      </c>
      <c r="E28" s="248">
        <v>4.4000000000000004</v>
      </c>
    </row>
    <row r="29" spans="1:5" ht="16.5" customHeight="1" x14ac:dyDescent="0.3">
      <c r="A29" s="214">
        <v>6</v>
      </c>
      <c r="B29" s="250">
        <v>70805087</v>
      </c>
      <c r="C29" s="251">
        <v>2240</v>
      </c>
      <c r="D29" s="252">
        <v>1</v>
      </c>
      <c r="E29" s="252">
        <v>4.4000000000000004</v>
      </c>
    </row>
    <row r="30" spans="1:5" ht="16.5" customHeight="1" x14ac:dyDescent="0.3">
      <c r="A30" s="220" t="s">
        <v>13</v>
      </c>
      <c r="B30" s="221">
        <f>AVERAGE(B24:B29)</f>
        <v>70689664.166666672</v>
      </c>
      <c r="C30" s="222">
        <f>AVERAGE(C24:C29)</f>
        <v>2244.3666666666668</v>
      </c>
      <c r="D30" s="223">
        <f>AVERAGE(D24:D29)</f>
        <v>1</v>
      </c>
      <c r="E30" s="223">
        <f>AVERAGE(E24:E29)</f>
        <v>4.3999999999999995</v>
      </c>
    </row>
    <row r="31" spans="1:5" ht="16.5" customHeight="1" x14ac:dyDescent="0.3">
      <c r="A31" s="224" t="s">
        <v>14</v>
      </c>
      <c r="B31" s="225">
        <f>(STDEV(B24:B29)/B30)</f>
        <v>2.7822903387450643E-3</v>
      </c>
      <c r="C31" s="226"/>
      <c r="D31" s="226"/>
      <c r="E31" s="227"/>
    </row>
    <row r="32" spans="1:5" s="202" customFormat="1" ht="16.5" customHeight="1" x14ac:dyDescent="0.3">
      <c r="A32" s="228" t="s">
        <v>15</v>
      </c>
      <c r="B32" s="229">
        <f>COUNT(B24:B29)</f>
        <v>6</v>
      </c>
      <c r="C32" s="230"/>
      <c r="D32" s="231"/>
      <c r="E32" s="232"/>
    </row>
    <row r="33" spans="1:5" s="202" customFormat="1" ht="15.75" customHeight="1" x14ac:dyDescent="0.25">
      <c r="A33" s="208"/>
      <c r="B33" s="208"/>
      <c r="C33" s="208"/>
      <c r="D33" s="208"/>
      <c r="E33" s="208"/>
    </row>
    <row r="34" spans="1:5" s="202" customFormat="1" ht="16.5" customHeight="1" x14ac:dyDescent="0.3">
      <c r="A34" s="209" t="s">
        <v>16</v>
      </c>
      <c r="B34" s="233" t="s">
        <v>17</v>
      </c>
      <c r="C34" s="234"/>
      <c r="D34" s="234"/>
      <c r="E34" s="234"/>
    </row>
    <row r="35" spans="1:5" ht="16.5" customHeight="1" x14ac:dyDescent="0.3">
      <c r="A35" s="209"/>
      <c r="B35" s="233" t="s">
        <v>18</v>
      </c>
      <c r="C35" s="234"/>
      <c r="D35" s="234"/>
      <c r="E35" s="234"/>
    </row>
    <row r="36" spans="1:5" ht="16.5" customHeight="1" x14ac:dyDescent="0.3">
      <c r="A36" s="209"/>
      <c r="B36" s="233" t="s">
        <v>19</v>
      </c>
      <c r="C36" s="234"/>
      <c r="D36" s="234"/>
      <c r="E36" s="234"/>
    </row>
    <row r="37" spans="1:5" ht="15.75" customHeight="1" x14ac:dyDescent="0.25">
      <c r="A37" s="208"/>
      <c r="B37" s="208" t="s">
        <v>120</v>
      </c>
      <c r="C37" s="208"/>
      <c r="D37" s="208"/>
      <c r="E37" s="208"/>
    </row>
    <row r="38" spans="1:5" ht="16.5" customHeight="1" x14ac:dyDescent="0.3">
      <c r="A38" s="204" t="s">
        <v>1</v>
      </c>
      <c r="B38" s="205" t="s">
        <v>20</v>
      </c>
    </row>
    <row r="39" spans="1:5" ht="16.5" customHeight="1" x14ac:dyDescent="0.3">
      <c r="A39" s="209" t="s">
        <v>4</v>
      </c>
      <c r="B39" s="206" t="s">
        <v>119</v>
      </c>
      <c r="C39" s="208"/>
      <c r="D39" s="208"/>
      <c r="E39" s="208"/>
    </row>
    <row r="40" spans="1:5" ht="16.5" customHeight="1" x14ac:dyDescent="0.3">
      <c r="A40" s="209" t="s">
        <v>5</v>
      </c>
      <c r="B40" s="210">
        <v>99.6</v>
      </c>
      <c r="C40" s="208"/>
      <c r="D40" s="208"/>
      <c r="E40" s="208"/>
    </row>
    <row r="41" spans="1:5" ht="16.5" customHeight="1" x14ac:dyDescent="0.3">
      <c r="A41" s="206" t="s">
        <v>6</v>
      </c>
      <c r="B41" s="210">
        <v>14.37</v>
      </c>
      <c r="C41" s="208"/>
      <c r="D41" s="208"/>
      <c r="E41" s="208"/>
    </row>
    <row r="42" spans="1:5" ht="16.5" customHeight="1" x14ac:dyDescent="0.3">
      <c r="A42" s="206" t="s">
        <v>7</v>
      </c>
      <c r="B42" s="211">
        <f>14.37/25*10/20</f>
        <v>0.28739999999999999</v>
      </c>
      <c r="C42" s="208"/>
      <c r="D42" s="208"/>
      <c r="E42" s="208"/>
    </row>
    <row r="43" spans="1:5" ht="15.75" customHeight="1" x14ac:dyDescent="0.25">
      <c r="A43" s="208"/>
      <c r="B43" s="208"/>
      <c r="C43" s="208"/>
      <c r="D43" s="208"/>
      <c r="E43" s="208"/>
    </row>
    <row r="44" spans="1:5" ht="16.5" customHeight="1" x14ac:dyDescent="0.3">
      <c r="A44" s="212" t="s">
        <v>8</v>
      </c>
      <c r="B44" s="213" t="s">
        <v>9</v>
      </c>
      <c r="C44" s="212" t="s">
        <v>10</v>
      </c>
      <c r="D44" s="212" t="s">
        <v>11</v>
      </c>
      <c r="E44" s="212" t="s">
        <v>12</v>
      </c>
    </row>
    <row r="45" spans="1:5" ht="16.5" customHeight="1" x14ac:dyDescent="0.3">
      <c r="A45" s="214">
        <v>1</v>
      </c>
      <c r="B45" s="215">
        <v>49705859</v>
      </c>
      <c r="C45" s="215">
        <v>2313.1</v>
      </c>
      <c r="D45" s="216">
        <v>1.2</v>
      </c>
      <c r="E45" s="217">
        <v>4.3</v>
      </c>
    </row>
    <row r="46" spans="1:5" ht="16.5" customHeight="1" x14ac:dyDescent="0.3">
      <c r="A46" s="214">
        <v>2</v>
      </c>
      <c r="B46" s="215">
        <v>49699252</v>
      </c>
      <c r="C46" s="215">
        <v>2321.6</v>
      </c>
      <c r="D46" s="216">
        <v>1.3</v>
      </c>
      <c r="E46" s="216">
        <v>4.3</v>
      </c>
    </row>
    <row r="47" spans="1:5" ht="16.5" customHeight="1" x14ac:dyDescent="0.3">
      <c r="A47" s="214">
        <v>3</v>
      </c>
      <c r="B47" s="215">
        <v>49848190</v>
      </c>
      <c r="C47" s="215">
        <v>2320.6</v>
      </c>
      <c r="D47" s="216">
        <v>1.3</v>
      </c>
      <c r="E47" s="216">
        <v>4.3</v>
      </c>
    </row>
    <row r="48" spans="1:5" ht="16.5" customHeight="1" x14ac:dyDescent="0.3">
      <c r="A48" s="214">
        <v>4</v>
      </c>
      <c r="B48" s="215">
        <v>49912838</v>
      </c>
      <c r="C48" s="215">
        <v>2319.8000000000002</v>
      </c>
      <c r="D48" s="216">
        <v>1.3</v>
      </c>
      <c r="E48" s="216">
        <v>4.3</v>
      </c>
    </row>
    <row r="49" spans="1:7" ht="16.5" customHeight="1" x14ac:dyDescent="0.3">
      <c r="A49" s="214">
        <v>5</v>
      </c>
      <c r="B49" s="215">
        <v>49943691</v>
      </c>
      <c r="C49" s="215">
        <v>2316.6</v>
      </c>
      <c r="D49" s="216">
        <v>1.3</v>
      </c>
      <c r="E49" s="216">
        <v>4.4000000000000004</v>
      </c>
    </row>
    <row r="50" spans="1:7" ht="16.5" customHeight="1" x14ac:dyDescent="0.3">
      <c r="A50" s="214">
        <v>6</v>
      </c>
      <c r="B50" s="218">
        <v>50190571</v>
      </c>
      <c r="C50" s="218">
        <v>2330.6999999999998</v>
      </c>
      <c r="D50" s="219">
        <v>1.2</v>
      </c>
      <c r="E50" s="219">
        <v>4.4000000000000004</v>
      </c>
    </row>
    <row r="51" spans="1:7" ht="16.5" customHeight="1" x14ac:dyDescent="0.3">
      <c r="A51" s="220" t="s">
        <v>13</v>
      </c>
      <c r="B51" s="221">
        <f>AVERAGE(B45:B50)</f>
        <v>49883400.166666664</v>
      </c>
      <c r="C51" s="222">
        <f>AVERAGE(C45:C50)</f>
        <v>2320.3999999999996</v>
      </c>
      <c r="D51" s="223">
        <f>AVERAGE(D45:D50)</f>
        <v>1.2666666666666666</v>
      </c>
      <c r="E51" s="223">
        <f>AVERAGE(E45:E50)</f>
        <v>4.333333333333333</v>
      </c>
    </row>
    <row r="52" spans="1:7" ht="16.5" customHeight="1" x14ac:dyDescent="0.3">
      <c r="A52" s="224" t="s">
        <v>14</v>
      </c>
      <c r="B52" s="225">
        <f>(STDEV(B45:B50)/B51)</f>
        <v>3.6474800574470274E-3</v>
      </c>
      <c r="C52" s="226"/>
      <c r="D52" s="226"/>
      <c r="E52" s="227"/>
    </row>
    <row r="53" spans="1:7" s="202" customFormat="1" ht="16.5" customHeight="1" x14ac:dyDescent="0.3">
      <c r="A53" s="228" t="s">
        <v>15</v>
      </c>
      <c r="B53" s="229">
        <f>COUNT(B45:B50)</f>
        <v>6</v>
      </c>
      <c r="C53" s="230"/>
      <c r="D53" s="231"/>
      <c r="E53" s="232"/>
    </row>
    <row r="54" spans="1:7" s="202" customFormat="1" ht="15.75" customHeight="1" x14ac:dyDescent="0.25">
      <c r="A54" s="208"/>
      <c r="B54" s="208"/>
      <c r="C54" s="208"/>
      <c r="D54" s="208"/>
      <c r="E54" s="208"/>
    </row>
    <row r="55" spans="1:7" s="202" customFormat="1" ht="16.5" customHeight="1" x14ac:dyDescent="0.3">
      <c r="A55" s="209" t="s">
        <v>16</v>
      </c>
      <c r="B55" s="233" t="s">
        <v>17</v>
      </c>
      <c r="C55" s="234"/>
      <c r="D55" s="234"/>
      <c r="E55" s="234"/>
    </row>
    <row r="56" spans="1:7" ht="16.5" customHeight="1" x14ac:dyDescent="0.3">
      <c r="A56" s="209"/>
      <c r="B56" s="233" t="s">
        <v>18</v>
      </c>
      <c r="C56" s="234"/>
      <c r="D56" s="234"/>
      <c r="E56" s="234"/>
    </row>
    <row r="57" spans="1:7" ht="16.5" customHeight="1" x14ac:dyDescent="0.3">
      <c r="A57" s="209"/>
      <c r="B57" s="233" t="s">
        <v>19</v>
      </c>
      <c r="C57" s="234"/>
      <c r="D57" s="234"/>
      <c r="E57" s="234"/>
    </row>
    <row r="58" spans="1:7" ht="14.25" customHeight="1" thickBot="1" x14ac:dyDescent="0.3">
      <c r="A58" s="235"/>
      <c r="B58" s="236"/>
      <c r="D58" s="237"/>
      <c r="F58" s="238"/>
      <c r="G58" s="238"/>
    </row>
    <row r="59" spans="1:7" ht="15" customHeight="1" x14ac:dyDescent="0.3">
      <c r="B59" s="303" t="s">
        <v>21</v>
      </c>
      <c r="C59" s="303"/>
      <c r="E59" s="245" t="s">
        <v>22</v>
      </c>
      <c r="F59" s="239"/>
      <c r="G59" s="245" t="s">
        <v>23</v>
      </c>
    </row>
    <row r="60" spans="1:7" ht="15" customHeight="1" x14ac:dyDescent="0.3">
      <c r="A60" s="240" t="s">
        <v>24</v>
      </c>
      <c r="B60" s="241" t="s">
        <v>121</v>
      </c>
      <c r="C60" s="241"/>
      <c r="E60" s="242" t="s">
        <v>129</v>
      </c>
      <c r="G60" s="241"/>
    </row>
    <row r="61" spans="1:7" ht="15" customHeight="1" x14ac:dyDescent="0.3">
      <c r="A61" s="240" t="s">
        <v>25</v>
      </c>
      <c r="B61" s="243"/>
      <c r="C61" s="243"/>
      <c r="E61" s="243"/>
      <c r="G61" s="24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34" workbookViewId="0">
      <selection activeCell="C46" sqref="C46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5" width="25.85546875" style="2" customWidth="1"/>
    <col min="6" max="6" width="25.7109375" style="2" customWidth="1"/>
    <col min="7" max="7" width="23.140625" style="2" customWidth="1"/>
    <col min="8" max="8" width="28.42578125" style="2" customWidth="1"/>
    <col min="9" max="9" width="21.5703125" style="2" customWidth="1"/>
    <col min="10" max="10" width="9.140625" style="2" customWidth="1"/>
    <col min="11" max="16384" width="9.140625" style="4"/>
  </cols>
  <sheetData>
    <row r="14" spans="1:7" ht="15" customHeight="1" x14ac:dyDescent="0.3">
      <c r="A14" s="1"/>
      <c r="C14" s="3"/>
      <c r="G14" s="3"/>
    </row>
    <row r="15" spans="1:7" ht="18.75" customHeight="1" x14ac:dyDescent="0.3">
      <c r="A15" s="304" t="s">
        <v>0</v>
      </c>
      <c r="B15" s="304"/>
      <c r="C15" s="304"/>
      <c r="D15" s="304"/>
      <c r="E15" s="304"/>
      <c r="F15" s="304"/>
    </row>
    <row r="16" spans="1:7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7" t="s">
        <v>112</v>
      </c>
      <c r="D17" s="8"/>
      <c r="E17" s="8"/>
      <c r="F17" s="9"/>
    </row>
    <row r="18" spans="1:6" ht="16.5" customHeight="1" x14ac:dyDescent="0.3">
      <c r="A18" s="10" t="s">
        <v>4</v>
      </c>
      <c r="B18" s="7" t="s">
        <v>117</v>
      </c>
      <c r="C18" s="9"/>
      <c r="D18" s="9"/>
      <c r="E18" s="9"/>
      <c r="F18" s="9"/>
    </row>
    <row r="19" spans="1:6" ht="16.5" customHeight="1" x14ac:dyDescent="0.3">
      <c r="A19" s="10" t="s">
        <v>5</v>
      </c>
      <c r="B19" s="11">
        <v>99.4</v>
      </c>
      <c r="C19" s="9"/>
      <c r="D19" s="9"/>
      <c r="E19" s="9"/>
      <c r="F19" s="9"/>
    </row>
    <row r="20" spans="1:6" ht="16.5" customHeight="1" x14ac:dyDescent="0.3">
      <c r="A20" s="7" t="s">
        <v>6</v>
      </c>
      <c r="B20" s="11">
        <v>14.25</v>
      </c>
      <c r="C20" s="9"/>
      <c r="D20" s="9"/>
      <c r="E20" s="9"/>
      <c r="F20" s="9"/>
    </row>
    <row r="21" spans="1:6" ht="16.5" customHeight="1" x14ac:dyDescent="0.3">
      <c r="A21" s="7" t="s">
        <v>7</v>
      </c>
      <c r="B21" s="12">
        <f>14.25/25*5/50</f>
        <v>5.6999999999999995E-2</v>
      </c>
      <c r="C21" s="9"/>
      <c r="D21" s="9"/>
      <c r="E21" s="9"/>
      <c r="F21" s="9"/>
    </row>
    <row r="22" spans="1:6" ht="15.75" customHeight="1" x14ac:dyDescent="0.25">
      <c r="A22" s="9"/>
      <c r="B22" s="9"/>
      <c r="C22" s="9"/>
      <c r="D22" s="9"/>
      <c r="E22" s="9"/>
      <c r="F22" s="9"/>
    </row>
    <row r="23" spans="1:6" ht="16.5" customHeight="1" x14ac:dyDescent="0.3">
      <c r="A23" s="13" t="s">
        <v>8</v>
      </c>
      <c r="B23" s="14" t="s">
        <v>9</v>
      </c>
      <c r="C23" s="13" t="s">
        <v>10</v>
      </c>
      <c r="D23" s="13" t="s">
        <v>11</v>
      </c>
      <c r="E23" s="13" t="s">
        <v>122</v>
      </c>
      <c r="F23" s="13" t="s">
        <v>12</v>
      </c>
    </row>
    <row r="24" spans="1:6" ht="16.5" customHeight="1" x14ac:dyDescent="0.3">
      <c r="A24" s="15">
        <v>1</v>
      </c>
      <c r="B24" s="16">
        <v>19812477</v>
      </c>
      <c r="C24" s="16">
        <v>2226</v>
      </c>
      <c r="D24" s="17">
        <v>1</v>
      </c>
      <c r="E24" s="17">
        <v>2.71739</v>
      </c>
      <c r="F24" s="18">
        <v>5.5</v>
      </c>
    </row>
    <row r="25" spans="1:6" ht="16.5" customHeight="1" x14ac:dyDescent="0.3">
      <c r="A25" s="15">
        <v>2</v>
      </c>
      <c r="B25" s="16">
        <v>19799972</v>
      </c>
      <c r="C25" s="16">
        <v>2223.1999999999998</v>
      </c>
      <c r="D25" s="17">
        <v>1</v>
      </c>
      <c r="E25" s="17">
        <v>2.70634</v>
      </c>
      <c r="F25" s="17">
        <v>5.5</v>
      </c>
    </row>
    <row r="26" spans="1:6" ht="16.5" customHeight="1" x14ac:dyDescent="0.3">
      <c r="A26" s="15">
        <v>3</v>
      </c>
      <c r="B26" s="16">
        <v>19758072</v>
      </c>
      <c r="C26" s="16">
        <v>2220.6999999999998</v>
      </c>
      <c r="D26" s="17">
        <v>1</v>
      </c>
      <c r="E26" s="17">
        <v>2.7141700000000002</v>
      </c>
      <c r="F26" s="17">
        <v>5.5</v>
      </c>
    </row>
    <row r="27" spans="1:6" ht="16.5" customHeight="1" x14ac:dyDescent="0.3">
      <c r="A27" s="15">
        <v>4</v>
      </c>
      <c r="B27" s="16">
        <v>19751172</v>
      </c>
      <c r="C27" s="16">
        <v>2221.4</v>
      </c>
      <c r="D27" s="17">
        <v>1</v>
      </c>
      <c r="E27" s="17">
        <v>2.7022699999999999</v>
      </c>
      <c r="F27" s="17">
        <v>5.5</v>
      </c>
    </row>
    <row r="28" spans="1:6" ht="16.5" customHeight="1" x14ac:dyDescent="0.3">
      <c r="A28" s="15">
        <v>5</v>
      </c>
      <c r="B28" s="16">
        <v>19661027</v>
      </c>
      <c r="C28" s="16">
        <v>2212.4</v>
      </c>
      <c r="D28" s="17">
        <v>1</v>
      </c>
      <c r="E28" s="17">
        <v>2.6994699999999998</v>
      </c>
      <c r="F28" s="17">
        <v>5.5</v>
      </c>
    </row>
    <row r="29" spans="1:6" ht="16.5" customHeight="1" x14ac:dyDescent="0.3">
      <c r="A29" s="15">
        <v>6</v>
      </c>
      <c r="B29" s="19">
        <v>19798756</v>
      </c>
      <c r="C29" s="19">
        <v>2218.4</v>
      </c>
      <c r="D29" s="20">
        <v>1</v>
      </c>
      <c r="E29" s="20">
        <v>2.6995</v>
      </c>
      <c r="F29" s="20">
        <v>5.5</v>
      </c>
    </row>
    <row r="30" spans="1:6" ht="16.5" customHeight="1" x14ac:dyDescent="0.3">
      <c r="A30" s="21" t="s">
        <v>13</v>
      </c>
      <c r="B30" s="22">
        <f>AVERAGE(B24:B29)</f>
        <v>19763579.333333332</v>
      </c>
      <c r="C30" s="23">
        <f>AVERAGE(C24:C29)</f>
        <v>2220.35</v>
      </c>
      <c r="D30" s="24">
        <f>AVERAGE(D24:D29)</f>
        <v>1</v>
      </c>
      <c r="E30" s="24">
        <v>2.71</v>
      </c>
      <c r="F30" s="24">
        <f>AVERAGE(F24:F29)</f>
        <v>5.5</v>
      </c>
    </row>
    <row r="31" spans="1:6" ht="16.5" customHeight="1" x14ac:dyDescent="0.3">
      <c r="A31" s="25" t="s">
        <v>14</v>
      </c>
      <c r="B31" s="26">
        <f>(STDEV(B24:B29)/B30)</f>
        <v>2.8311500517884279E-3</v>
      </c>
      <c r="C31" s="27"/>
      <c r="D31" s="27"/>
      <c r="E31" s="27"/>
      <c r="F31" s="28"/>
    </row>
    <row r="32" spans="1:6" s="2" customFormat="1" ht="16.5" customHeight="1" x14ac:dyDescent="0.3">
      <c r="A32" s="29" t="s">
        <v>15</v>
      </c>
      <c r="B32" s="30">
        <f>COUNT(B24:B29)</f>
        <v>6</v>
      </c>
      <c r="C32" s="31"/>
      <c r="D32" s="32"/>
      <c r="E32" s="32"/>
      <c r="F32" s="33"/>
    </row>
    <row r="33" spans="1:6" s="2" customFormat="1" ht="15.75" customHeight="1" x14ac:dyDescent="0.25">
      <c r="A33" s="9"/>
      <c r="B33" s="9"/>
      <c r="C33" s="9"/>
      <c r="D33" s="9"/>
      <c r="E33" s="9"/>
      <c r="F33" s="9"/>
    </row>
    <row r="34" spans="1:6" s="2" customFormat="1" ht="16.5" customHeight="1" x14ac:dyDescent="0.3">
      <c r="A34" s="10" t="s">
        <v>16</v>
      </c>
      <c r="B34" s="34" t="s">
        <v>17</v>
      </c>
      <c r="C34" s="35"/>
      <c r="D34" s="35"/>
      <c r="E34" s="35"/>
      <c r="F34" s="35"/>
    </row>
    <row r="35" spans="1:6" ht="16.5" customHeight="1" x14ac:dyDescent="0.3">
      <c r="A35" s="10"/>
      <c r="B35" s="34" t="s">
        <v>18</v>
      </c>
      <c r="C35" s="35"/>
      <c r="D35" s="35"/>
      <c r="E35" s="35"/>
      <c r="F35" s="35"/>
    </row>
    <row r="36" spans="1:6" ht="16.5" customHeight="1" x14ac:dyDescent="0.3">
      <c r="A36" s="10"/>
      <c r="B36" s="34" t="s">
        <v>19</v>
      </c>
      <c r="C36" s="35"/>
      <c r="D36" s="35"/>
      <c r="E36" s="35"/>
      <c r="F36" s="35"/>
    </row>
    <row r="37" spans="1:6" ht="15.75" customHeight="1" x14ac:dyDescent="0.3">
      <c r="A37" s="9"/>
      <c r="B37" s="253" t="s">
        <v>123</v>
      </c>
      <c r="C37" s="9"/>
      <c r="D37" s="9"/>
      <c r="E37" s="9"/>
      <c r="F37" s="9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0" t="s">
        <v>4</v>
      </c>
      <c r="B39" s="7" t="s">
        <v>117</v>
      </c>
      <c r="C39" s="9"/>
      <c r="D39" s="9"/>
      <c r="E39" s="9"/>
      <c r="F39" s="9"/>
    </row>
    <row r="40" spans="1:6" ht="16.5" customHeight="1" x14ac:dyDescent="0.3">
      <c r="A40" s="10" t="s">
        <v>5</v>
      </c>
      <c r="B40" s="11">
        <v>99.4</v>
      </c>
      <c r="C40" s="9"/>
      <c r="D40" s="9"/>
      <c r="E40" s="9"/>
      <c r="F40" s="9"/>
    </row>
    <row r="41" spans="1:6" ht="16.5" customHeight="1" x14ac:dyDescent="0.3">
      <c r="A41" s="7" t="s">
        <v>6</v>
      </c>
      <c r="B41" s="11">
        <v>10.75</v>
      </c>
      <c r="C41" s="9"/>
      <c r="D41" s="9"/>
      <c r="E41" s="9"/>
      <c r="F41" s="9"/>
    </row>
    <row r="42" spans="1:6" ht="16.5" customHeight="1" x14ac:dyDescent="0.3">
      <c r="A42" s="7" t="s">
        <v>7</v>
      </c>
      <c r="B42" s="12">
        <f>10.75/20*4/20</f>
        <v>0.1075</v>
      </c>
      <c r="C42" s="9"/>
      <c r="D42" s="9"/>
      <c r="E42" s="9"/>
      <c r="F42" s="9"/>
    </row>
    <row r="43" spans="1:6" ht="15.75" customHeight="1" x14ac:dyDescent="0.25">
      <c r="A43" s="9"/>
      <c r="B43" s="9"/>
      <c r="C43" s="9"/>
      <c r="D43" s="9"/>
      <c r="E43" s="9"/>
      <c r="F43" s="9"/>
    </row>
    <row r="44" spans="1:6" ht="16.5" customHeight="1" x14ac:dyDescent="0.3">
      <c r="A44" s="13" t="s">
        <v>8</v>
      </c>
      <c r="B44" s="14" t="s">
        <v>9</v>
      </c>
      <c r="C44" s="13" t="s">
        <v>10</v>
      </c>
      <c r="D44" s="13" t="s">
        <v>11</v>
      </c>
      <c r="E44" s="13" t="s">
        <v>122</v>
      </c>
      <c r="F44" s="13" t="s">
        <v>12</v>
      </c>
    </row>
    <row r="45" spans="1:6" ht="16.5" customHeight="1" x14ac:dyDescent="0.3">
      <c r="A45" s="15">
        <v>1</v>
      </c>
      <c r="B45" s="16">
        <v>19522435</v>
      </c>
      <c r="C45" s="16">
        <v>2348.5</v>
      </c>
      <c r="D45" s="17">
        <v>1.2</v>
      </c>
      <c r="E45" s="17"/>
      <c r="F45" s="18">
        <v>5.5</v>
      </c>
    </row>
    <row r="46" spans="1:6" ht="16.5" customHeight="1" x14ac:dyDescent="0.3">
      <c r="A46" s="15">
        <v>2</v>
      </c>
      <c r="B46" s="16">
        <v>19610418</v>
      </c>
      <c r="C46" s="16">
        <v>2334.8000000000002</v>
      </c>
      <c r="D46" s="17">
        <v>1.2</v>
      </c>
      <c r="E46" s="17"/>
      <c r="F46" s="17">
        <v>5.5</v>
      </c>
    </row>
    <row r="47" spans="1:6" ht="16.5" customHeight="1" x14ac:dyDescent="0.3">
      <c r="A47" s="15">
        <v>3</v>
      </c>
      <c r="B47" s="16">
        <v>19540183</v>
      </c>
      <c r="C47" s="16">
        <v>2352</v>
      </c>
      <c r="D47" s="17">
        <v>1.2</v>
      </c>
      <c r="E47" s="17"/>
      <c r="F47" s="17">
        <v>5.5</v>
      </c>
    </row>
    <row r="48" spans="1:6" ht="16.5" customHeight="1" x14ac:dyDescent="0.3">
      <c r="A48" s="15">
        <v>4</v>
      </c>
      <c r="B48" s="16">
        <v>19536324</v>
      </c>
      <c r="C48" s="16">
        <v>2332.4</v>
      </c>
      <c r="D48" s="17">
        <v>1.2</v>
      </c>
      <c r="E48" s="17"/>
      <c r="F48" s="17">
        <v>5.5</v>
      </c>
    </row>
    <row r="49" spans="1:8" ht="16.5" customHeight="1" x14ac:dyDescent="0.3">
      <c r="A49" s="15">
        <v>5</v>
      </c>
      <c r="B49" s="16">
        <v>19490694</v>
      </c>
      <c r="C49" s="16">
        <v>2353.1</v>
      </c>
      <c r="D49" s="17">
        <v>1.2</v>
      </c>
      <c r="E49" s="17"/>
      <c r="F49" s="17">
        <v>5.5</v>
      </c>
    </row>
    <row r="50" spans="1:8" ht="16.5" customHeight="1" x14ac:dyDescent="0.3">
      <c r="A50" s="15">
        <v>6</v>
      </c>
      <c r="B50" s="19">
        <v>19643582</v>
      </c>
      <c r="C50" s="19">
        <v>2331.1999999999998</v>
      </c>
      <c r="D50" s="20">
        <v>1.2</v>
      </c>
      <c r="E50" s="20"/>
      <c r="F50" s="20">
        <v>5.5</v>
      </c>
    </row>
    <row r="51" spans="1:8" ht="16.5" customHeight="1" x14ac:dyDescent="0.3">
      <c r="A51" s="21" t="s">
        <v>13</v>
      </c>
      <c r="B51" s="22">
        <f>AVERAGE(B45:B50)</f>
        <v>19557272.666666668</v>
      </c>
      <c r="C51" s="23">
        <f>AVERAGE(C45:C50)</f>
        <v>2342</v>
      </c>
      <c r="D51" s="24">
        <f>AVERAGE(D45:D50)</f>
        <v>1.2</v>
      </c>
      <c r="E51" s="24"/>
      <c r="F51" s="24">
        <f>AVERAGE(F45:F50)</f>
        <v>5.5</v>
      </c>
    </row>
    <row r="52" spans="1:8" ht="16.5" customHeight="1" x14ac:dyDescent="0.3">
      <c r="A52" s="25" t="s">
        <v>14</v>
      </c>
      <c r="B52" s="26">
        <f>(STDEV(B45:B50)/B51)</f>
        <v>2.9507134278085709E-3</v>
      </c>
      <c r="C52" s="27"/>
      <c r="D52" s="27"/>
      <c r="E52" s="27"/>
      <c r="F52" s="28"/>
    </row>
    <row r="53" spans="1:8" s="2" customFormat="1" ht="16.5" customHeight="1" x14ac:dyDescent="0.3">
      <c r="A53" s="29" t="s">
        <v>15</v>
      </c>
      <c r="B53" s="30">
        <f>COUNT(B45:B50)</f>
        <v>6</v>
      </c>
      <c r="C53" s="31"/>
      <c r="D53" s="32"/>
      <c r="E53" s="32"/>
      <c r="F53" s="33"/>
    </row>
    <row r="54" spans="1:8" s="2" customFormat="1" ht="15.75" customHeight="1" x14ac:dyDescent="0.25">
      <c r="A54" s="9"/>
      <c r="B54" s="9"/>
      <c r="C54" s="9"/>
      <c r="D54" s="9"/>
      <c r="E54" s="9"/>
      <c r="F54" s="9"/>
    </row>
    <row r="55" spans="1:8" s="2" customFormat="1" ht="16.5" customHeight="1" x14ac:dyDescent="0.3">
      <c r="A55" s="10" t="s">
        <v>16</v>
      </c>
      <c r="B55" s="34" t="s">
        <v>17</v>
      </c>
      <c r="C55" s="35"/>
      <c r="D55" s="35"/>
      <c r="E55" s="35"/>
      <c r="F55" s="35"/>
    </row>
    <row r="56" spans="1:8" ht="16.5" customHeight="1" x14ac:dyDescent="0.3">
      <c r="A56" s="10"/>
      <c r="B56" s="34" t="s">
        <v>18</v>
      </c>
      <c r="C56" s="35"/>
      <c r="D56" s="35"/>
      <c r="E56" s="35"/>
      <c r="F56" s="35"/>
    </row>
    <row r="57" spans="1:8" ht="16.5" customHeight="1" x14ac:dyDescent="0.3">
      <c r="A57" s="10"/>
      <c r="B57" s="34" t="s">
        <v>19</v>
      </c>
      <c r="C57" s="35"/>
      <c r="D57" s="35"/>
      <c r="E57" s="35"/>
      <c r="F57" s="35"/>
    </row>
    <row r="58" spans="1:8" ht="14.25" customHeight="1" thickBot="1" x14ac:dyDescent="0.3">
      <c r="A58" s="36"/>
      <c r="B58" s="37"/>
      <c r="D58" s="38"/>
      <c r="E58" s="254"/>
      <c r="G58" s="4"/>
      <c r="H58" s="4"/>
    </row>
    <row r="59" spans="1:8" ht="15" customHeight="1" x14ac:dyDescent="0.3">
      <c r="B59" s="305" t="s">
        <v>21</v>
      </c>
      <c r="C59" s="305"/>
      <c r="F59" s="200"/>
      <c r="G59" s="39"/>
      <c r="H59" s="246" t="s">
        <v>23</v>
      </c>
    </row>
    <row r="60" spans="1:8" ht="15" customHeight="1" x14ac:dyDescent="0.3">
      <c r="A60" s="40" t="s">
        <v>24</v>
      </c>
      <c r="B60" s="41" t="s">
        <v>121</v>
      </c>
      <c r="C60" s="41"/>
      <c r="F60" s="42" t="s">
        <v>129</v>
      </c>
      <c r="H60" s="41"/>
    </row>
    <row r="61" spans="1:8" ht="15" customHeight="1" x14ac:dyDescent="0.3">
      <c r="A61" s="40" t="s">
        <v>25</v>
      </c>
      <c r="B61" s="43"/>
      <c r="C61" s="43"/>
      <c r="F61" s="43"/>
      <c r="H61" s="44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4" workbookViewId="0">
      <selection activeCell="C27" sqref="C27"/>
    </sheetView>
  </sheetViews>
  <sheetFormatPr defaultRowHeight="15" x14ac:dyDescent="0.3"/>
  <cols>
    <col min="1" max="1" width="15.5703125" style="258" customWidth="1"/>
    <col min="2" max="2" width="18.42578125" style="258" customWidth="1"/>
    <col min="3" max="3" width="14.28515625" style="258" customWidth="1"/>
    <col min="4" max="4" width="15" style="258" customWidth="1"/>
    <col min="5" max="5" width="9.140625" style="258" customWidth="1"/>
    <col min="6" max="6" width="27.85546875" style="258" customWidth="1"/>
    <col min="7" max="7" width="12.28515625" style="258" customWidth="1"/>
    <col min="8" max="8" width="9.140625" style="258" customWidth="1"/>
    <col min="9" max="16384" width="9.140625" style="301"/>
  </cols>
  <sheetData>
    <row r="10" spans="1:7" ht="13.5" customHeight="1" thickBot="1" x14ac:dyDescent="0.35"/>
    <row r="11" spans="1:7" ht="13.5" customHeight="1" thickBot="1" x14ac:dyDescent="0.35">
      <c r="A11" s="311" t="s">
        <v>26</v>
      </c>
      <c r="B11" s="312"/>
      <c r="C11" s="312"/>
      <c r="D11" s="312"/>
      <c r="E11" s="312"/>
      <c r="F11" s="313"/>
      <c r="G11" s="259"/>
    </row>
    <row r="12" spans="1:7" ht="16.5" customHeight="1" x14ac:dyDescent="0.3">
      <c r="A12" s="307" t="s">
        <v>27</v>
      </c>
      <c r="B12" s="307"/>
      <c r="C12" s="307"/>
      <c r="D12" s="307"/>
      <c r="E12" s="307"/>
      <c r="F12" s="307"/>
      <c r="G12" s="260"/>
    </row>
    <row r="14" spans="1:7" ht="16.5" customHeight="1" x14ac:dyDescent="0.3">
      <c r="A14" s="306" t="s">
        <v>28</v>
      </c>
      <c r="B14" s="306"/>
      <c r="C14" s="261" t="s">
        <v>126</v>
      </c>
    </row>
    <row r="15" spans="1:7" ht="16.5" customHeight="1" x14ac:dyDescent="0.3">
      <c r="A15" s="306" t="s">
        <v>29</v>
      </c>
      <c r="B15" s="306"/>
      <c r="C15" s="261" t="s">
        <v>124</v>
      </c>
    </row>
    <row r="16" spans="1:7" ht="16.5" customHeight="1" x14ac:dyDescent="0.3">
      <c r="A16" s="306" t="s">
        <v>30</v>
      </c>
      <c r="B16" s="306"/>
      <c r="C16" s="261" t="s">
        <v>114</v>
      </c>
    </row>
    <row r="17" spans="1:5" ht="16.5" customHeight="1" x14ac:dyDescent="0.3">
      <c r="A17" s="306" t="s">
        <v>31</v>
      </c>
      <c r="B17" s="306"/>
      <c r="C17" s="261" t="s">
        <v>127</v>
      </c>
    </row>
    <row r="18" spans="1:5" ht="16.5" customHeight="1" x14ac:dyDescent="0.3">
      <c r="A18" s="306" t="s">
        <v>32</v>
      </c>
      <c r="B18" s="306"/>
      <c r="C18" s="262" t="s">
        <v>128</v>
      </c>
    </row>
    <row r="19" spans="1:5" ht="16.5" customHeight="1" x14ac:dyDescent="0.3">
      <c r="A19" s="306" t="s">
        <v>33</v>
      </c>
      <c r="B19" s="306"/>
      <c r="C19" s="262" t="e">
        <f>#REF!</f>
        <v>#REF!</v>
      </c>
    </row>
    <row r="20" spans="1:5" ht="16.5" customHeight="1" x14ac:dyDescent="0.3">
      <c r="A20" s="263"/>
      <c r="B20" s="263"/>
      <c r="C20" s="264"/>
    </row>
    <row r="21" spans="1:5" ht="16.5" customHeight="1" x14ac:dyDescent="0.3">
      <c r="A21" s="307" t="s">
        <v>1</v>
      </c>
      <c r="B21" s="307"/>
      <c r="C21" s="265" t="s">
        <v>34</v>
      </c>
      <c r="D21" s="266"/>
    </row>
    <row r="22" spans="1:5" ht="15.75" customHeight="1" thickBot="1" x14ac:dyDescent="0.35">
      <c r="A22" s="308"/>
      <c r="B22" s="308"/>
      <c r="C22" s="267"/>
      <c r="D22" s="308"/>
      <c r="E22" s="308"/>
    </row>
    <row r="23" spans="1:5" ht="33.75" customHeight="1" thickBot="1" x14ac:dyDescent="0.35">
      <c r="C23" s="268" t="s">
        <v>35</v>
      </c>
      <c r="D23" s="269" t="s">
        <v>36</v>
      </c>
      <c r="E23" s="270"/>
    </row>
    <row r="24" spans="1:5" ht="15.75" customHeight="1" x14ac:dyDescent="0.3">
      <c r="C24" s="271">
        <v>1989.3</v>
      </c>
      <c r="D24" s="272">
        <f t="shared" ref="D24:D43" si="0">(C24-$C$46)/$C$46</f>
        <v>1.3721394015970749E-2</v>
      </c>
      <c r="E24" s="273"/>
    </row>
    <row r="25" spans="1:5" ht="15.75" customHeight="1" x14ac:dyDescent="0.3">
      <c r="C25" s="271">
        <v>1967.95</v>
      </c>
      <c r="D25" s="274">
        <f t="shared" si="0"/>
        <v>2.8417118351830922E-3</v>
      </c>
      <c r="E25" s="273"/>
    </row>
    <row r="26" spans="1:5" ht="15.75" customHeight="1" x14ac:dyDescent="0.3">
      <c r="C26" s="271">
        <v>1958.38</v>
      </c>
      <c r="D26" s="274">
        <f t="shared" si="0"/>
        <v>-2.0350356341441965E-3</v>
      </c>
      <c r="E26" s="273"/>
    </row>
    <row r="27" spans="1:5" ht="15.75" customHeight="1" x14ac:dyDescent="0.3">
      <c r="C27" s="271">
        <v>1975.39</v>
      </c>
      <c r="D27" s="274">
        <f t="shared" si="0"/>
        <v>6.6330390213686242E-3</v>
      </c>
      <c r="E27" s="273"/>
    </row>
    <row r="28" spans="1:5" ht="15.75" customHeight="1" x14ac:dyDescent="0.3">
      <c r="C28" s="271">
        <v>1959.35</v>
      </c>
      <c r="D28" s="274">
        <f t="shared" si="0"/>
        <v>-1.5407362563754896E-3</v>
      </c>
      <c r="E28" s="273"/>
    </row>
    <row r="29" spans="1:5" ht="15.75" customHeight="1" x14ac:dyDescent="0.3">
      <c r="C29" s="271">
        <v>1942.32</v>
      </c>
      <c r="D29" s="274">
        <f t="shared" si="0"/>
        <v>-1.0219002651636111E-2</v>
      </c>
      <c r="E29" s="273"/>
    </row>
    <row r="30" spans="1:5" ht="15.75" customHeight="1" x14ac:dyDescent="0.3">
      <c r="C30" s="271">
        <v>1942.39</v>
      </c>
      <c r="D30" s="274">
        <f t="shared" si="0"/>
        <v>-1.0183331562518692E-2</v>
      </c>
      <c r="E30" s="273"/>
    </row>
    <row r="31" spans="1:5" ht="15.75" customHeight="1" x14ac:dyDescent="0.3">
      <c r="C31" s="271">
        <v>1954.49</v>
      </c>
      <c r="D31" s="274">
        <f t="shared" si="0"/>
        <v>-4.0173290150933884E-3</v>
      </c>
      <c r="E31" s="273"/>
    </row>
    <row r="32" spans="1:5" ht="15.75" customHeight="1" x14ac:dyDescent="0.3">
      <c r="C32" s="271">
        <v>1963.97</v>
      </c>
      <c r="D32" s="274">
        <f t="shared" si="0"/>
        <v>8.1355562536879471E-4</v>
      </c>
      <c r="E32" s="273"/>
    </row>
    <row r="33" spans="1:7" ht="15.75" customHeight="1" x14ac:dyDescent="0.3">
      <c r="C33" s="271">
        <v>1953.91</v>
      </c>
      <c r="D33" s="274">
        <f t="shared" si="0"/>
        <v>-4.312889467779856E-3</v>
      </c>
      <c r="E33" s="273"/>
    </row>
    <row r="34" spans="1:7" ht="15.75" customHeight="1" x14ac:dyDescent="0.3">
      <c r="C34" s="271">
        <v>1955.7</v>
      </c>
      <c r="D34" s="274">
        <f t="shared" si="0"/>
        <v>-3.4007287603508352E-3</v>
      </c>
      <c r="E34" s="273"/>
    </row>
    <row r="35" spans="1:7" ht="15.75" customHeight="1" x14ac:dyDescent="0.3">
      <c r="C35" s="271">
        <v>1956.31</v>
      </c>
      <c r="D35" s="274">
        <f t="shared" si="0"/>
        <v>-3.0898806980426663E-3</v>
      </c>
      <c r="E35" s="273"/>
    </row>
    <row r="36" spans="1:7" ht="15.75" customHeight="1" x14ac:dyDescent="0.3">
      <c r="C36" s="271">
        <v>1974.28</v>
      </c>
      <c r="D36" s="274">
        <f t="shared" si="0"/>
        <v>6.0673974653650768E-3</v>
      </c>
      <c r="E36" s="273"/>
    </row>
    <row r="37" spans="1:7" ht="15.75" customHeight="1" x14ac:dyDescent="0.3">
      <c r="C37" s="271">
        <v>1967.31</v>
      </c>
      <c r="D37" s="274">
        <f t="shared" si="0"/>
        <v>2.5155761632531053E-3</v>
      </c>
      <c r="E37" s="273"/>
    </row>
    <row r="38" spans="1:7" ht="15.75" customHeight="1" x14ac:dyDescent="0.3">
      <c r="C38" s="271">
        <v>1957.22</v>
      </c>
      <c r="D38" s="274">
        <f t="shared" si="0"/>
        <v>-2.626156539517247E-3</v>
      </c>
      <c r="E38" s="273"/>
    </row>
    <row r="39" spans="1:7" ht="15.75" customHeight="1" x14ac:dyDescent="0.3">
      <c r="C39" s="271">
        <v>1959.4</v>
      </c>
      <c r="D39" s="274">
        <f t="shared" si="0"/>
        <v>-1.5152569070058708E-3</v>
      </c>
      <c r="E39" s="273"/>
    </row>
    <row r="40" spans="1:7" ht="15.75" customHeight="1" x14ac:dyDescent="0.3">
      <c r="C40" s="271">
        <v>1956.2</v>
      </c>
      <c r="D40" s="274">
        <f t="shared" si="0"/>
        <v>-3.1459352666555729E-3</v>
      </c>
      <c r="E40" s="273"/>
    </row>
    <row r="41" spans="1:7" ht="15.75" customHeight="1" x14ac:dyDescent="0.3">
      <c r="C41" s="271">
        <v>1974.8</v>
      </c>
      <c r="D41" s="274">
        <f t="shared" si="0"/>
        <v>6.3323826988081399E-3</v>
      </c>
      <c r="E41" s="273"/>
    </row>
    <row r="42" spans="1:7" ht="15.75" customHeight="1" x14ac:dyDescent="0.3">
      <c r="C42" s="271">
        <v>1974.8</v>
      </c>
      <c r="D42" s="274">
        <f t="shared" si="0"/>
        <v>6.3323826988081399E-3</v>
      </c>
      <c r="E42" s="273"/>
    </row>
    <row r="43" spans="1:7" ht="16.5" customHeight="1" thickBot="1" x14ac:dyDescent="0.35">
      <c r="C43" s="275">
        <v>1964</v>
      </c>
      <c r="D43" s="276">
        <f t="shared" si="0"/>
        <v>8.2884323499049658E-4</v>
      </c>
      <c r="E43" s="273"/>
    </row>
    <row r="44" spans="1:7" ht="16.5" customHeight="1" thickBot="1" x14ac:dyDescent="0.35">
      <c r="C44" s="277"/>
      <c r="D44" s="273"/>
      <c r="E44" s="278"/>
    </row>
    <row r="45" spans="1:7" ht="16.5" customHeight="1" thickBot="1" x14ac:dyDescent="0.35">
      <c r="B45" s="279" t="s">
        <v>37</v>
      </c>
      <c r="C45" s="280">
        <f>SUM(C24:C44)</f>
        <v>39247.470000000008</v>
      </c>
      <c r="D45" s="281"/>
      <c r="E45" s="277"/>
    </row>
    <row r="46" spans="1:7" ht="17.25" customHeight="1" thickBot="1" x14ac:dyDescent="0.35">
      <c r="B46" s="279" t="s">
        <v>38</v>
      </c>
      <c r="C46" s="282">
        <f>AVERAGE(C24:C44)</f>
        <v>1962.3735000000004</v>
      </c>
      <c r="E46" s="283"/>
    </row>
    <row r="47" spans="1:7" ht="17.25" customHeight="1" thickBot="1" x14ac:dyDescent="0.35">
      <c r="A47" s="261"/>
      <c r="B47" s="284"/>
      <c r="D47" s="285"/>
      <c r="E47" s="283"/>
    </row>
    <row r="48" spans="1:7" ht="33.75" customHeight="1" thickBot="1" x14ac:dyDescent="0.35">
      <c r="B48" s="286" t="s">
        <v>38</v>
      </c>
      <c r="C48" s="269" t="s">
        <v>39</v>
      </c>
      <c r="D48" s="287"/>
      <c r="G48" s="285"/>
    </row>
    <row r="49" spans="1:6" ht="17.25" customHeight="1" thickBot="1" x14ac:dyDescent="0.35">
      <c r="B49" s="309">
        <f>C46</f>
        <v>1962.3735000000004</v>
      </c>
      <c r="C49" s="288">
        <f>-IF(C46&lt;=80,10%,IF(C46&lt;250,7.5%,5%))</f>
        <v>-0.05</v>
      </c>
      <c r="D49" s="289">
        <f>IF(C46&lt;=80,C46*0.9,IF(C46&lt;250,C46*0.925,C46*0.95))</f>
        <v>1864.2548250000002</v>
      </c>
    </row>
    <row r="50" spans="1:6" ht="17.25" customHeight="1" thickBot="1" x14ac:dyDescent="0.35">
      <c r="B50" s="310"/>
      <c r="C50" s="290">
        <f>IF(C46&lt;=80, 10%, IF(C46&lt;250, 7.5%, 5%))</f>
        <v>0.05</v>
      </c>
      <c r="D50" s="289">
        <f>IF(C46&lt;=80, C46*1.1, IF(C46&lt;250, C46*1.075, C46*1.05))</f>
        <v>2060.4921750000003</v>
      </c>
    </row>
    <row r="51" spans="1:6" ht="16.5" customHeight="1" thickBot="1" x14ac:dyDescent="0.35">
      <c r="A51" s="291"/>
      <c r="B51" s="292"/>
      <c r="C51" s="261"/>
      <c r="D51" s="293"/>
      <c r="E51" s="261"/>
      <c r="F51" s="266"/>
    </row>
    <row r="52" spans="1:6" ht="16.5" customHeight="1" x14ac:dyDescent="0.3">
      <c r="A52" s="261"/>
      <c r="B52" s="294" t="s">
        <v>21</v>
      </c>
      <c r="C52" s="294"/>
      <c r="D52" s="295" t="s">
        <v>22</v>
      </c>
      <c r="E52" s="296"/>
      <c r="F52" s="295" t="s">
        <v>23</v>
      </c>
    </row>
    <row r="53" spans="1:6" ht="34.5" customHeight="1" x14ac:dyDescent="0.3">
      <c r="A53" s="263" t="s">
        <v>24</v>
      </c>
      <c r="B53" s="297"/>
      <c r="C53" s="261"/>
      <c r="D53" s="297"/>
      <c r="E53" s="261"/>
      <c r="F53" s="297"/>
    </row>
    <row r="54" spans="1:6" ht="34.5" customHeight="1" x14ac:dyDescent="0.3">
      <c r="A54" s="263" t="s">
        <v>25</v>
      </c>
      <c r="B54" s="298"/>
      <c r="C54" s="299"/>
      <c r="D54" s="298"/>
      <c r="E54" s="261"/>
      <c r="F54" s="300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C126" zoomScaleNormal="75" zoomScaleSheetLayoutView="100" workbookViewId="0">
      <selection activeCell="F127" sqref="F127:F13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  <col min="13" max="16384" width="9.140625" style="4"/>
  </cols>
  <sheetData>
    <row r="1" spans="1:8" x14ac:dyDescent="0.25">
      <c r="A1" s="317" t="s">
        <v>40</v>
      </c>
      <c r="B1" s="317"/>
      <c r="C1" s="317"/>
      <c r="D1" s="317"/>
      <c r="E1" s="317"/>
      <c r="F1" s="317"/>
      <c r="G1" s="317"/>
      <c r="H1" s="317"/>
    </row>
    <row r="2" spans="1:8" x14ac:dyDescent="0.25">
      <c r="A2" s="317"/>
      <c r="B2" s="317"/>
      <c r="C2" s="317"/>
      <c r="D2" s="317"/>
      <c r="E2" s="317"/>
      <c r="F2" s="317"/>
      <c r="G2" s="317"/>
      <c r="H2" s="317"/>
    </row>
    <row r="3" spans="1:8" x14ac:dyDescent="0.25">
      <c r="A3" s="317"/>
      <c r="B3" s="317"/>
      <c r="C3" s="317"/>
      <c r="D3" s="317"/>
      <c r="E3" s="317"/>
      <c r="F3" s="317"/>
      <c r="G3" s="317"/>
      <c r="H3" s="317"/>
    </row>
    <row r="4" spans="1:8" x14ac:dyDescent="0.25">
      <c r="A4" s="317"/>
      <c r="B4" s="317"/>
      <c r="C4" s="317"/>
      <c r="D4" s="317"/>
      <c r="E4" s="317"/>
      <c r="F4" s="317"/>
      <c r="G4" s="317"/>
      <c r="H4" s="317"/>
    </row>
    <row r="5" spans="1:8" x14ac:dyDescent="0.25">
      <c r="A5" s="317"/>
      <c r="B5" s="317"/>
      <c r="C5" s="317"/>
      <c r="D5" s="317"/>
      <c r="E5" s="317"/>
      <c r="F5" s="317"/>
      <c r="G5" s="317"/>
      <c r="H5" s="317"/>
    </row>
    <row r="6" spans="1:8" x14ac:dyDescent="0.25">
      <c r="A6" s="317"/>
      <c r="B6" s="317"/>
      <c r="C6" s="317"/>
      <c r="D6" s="317"/>
      <c r="E6" s="317"/>
      <c r="F6" s="317"/>
      <c r="G6" s="317"/>
      <c r="H6" s="317"/>
    </row>
    <row r="7" spans="1:8" x14ac:dyDescent="0.25">
      <c r="A7" s="317"/>
      <c r="B7" s="317"/>
      <c r="C7" s="317"/>
      <c r="D7" s="317"/>
      <c r="E7" s="317"/>
      <c r="F7" s="317"/>
      <c r="G7" s="317"/>
      <c r="H7" s="317"/>
    </row>
    <row r="8" spans="1:8" x14ac:dyDescent="0.25">
      <c r="A8" s="318" t="s">
        <v>41</v>
      </c>
      <c r="B8" s="318"/>
      <c r="C8" s="318"/>
      <c r="D8" s="318"/>
      <c r="E8" s="318"/>
      <c r="F8" s="318"/>
      <c r="G8" s="318"/>
      <c r="H8" s="318"/>
    </row>
    <row r="9" spans="1:8" x14ac:dyDescent="0.25">
      <c r="A9" s="318"/>
      <c r="B9" s="318"/>
      <c r="C9" s="318"/>
      <c r="D9" s="318"/>
      <c r="E9" s="318"/>
      <c r="F9" s="318"/>
      <c r="G9" s="318"/>
      <c r="H9" s="318"/>
    </row>
    <row r="10" spans="1:8" x14ac:dyDescent="0.25">
      <c r="A10" s="318"/>
      <c r="B10" s="318"/>
      <c r="C10" s="318"/>
      <c r="D10" s="318"/>
      <c r="E10" s="318"/>
      <c r="F10" s="318"/>
      <c r="G10" s="318"/>
      <c r="H10" s="318"/>
    </row>
    <row r="11" spans="1:8" x14ac:dyDescent="0.25">
      <c r="A11" s="318"/>
      <c r="B11" s="318"/>
      <c r="C11" s="318"/>
      <c r="D11" s="318"/>
      <c r="E11" s="318"/>
      <c r="F11" s="318"/>
      <c r="G11" s="318"/>
      <c r="H11" s="318"/>
    </row>
    <row r="12" spans="1:8" x14ac:dyDescent="0.25">
      <c r="A12" s="318"/>
      <c r="B12" s="318"/>
      <c r="C12" s="318"/>
      <c r="D12" s="318"/>
      <c r="E12" s="318"/>
      <c r="F12" s="318"/>
      <c r="G12" s="318"/>
      <c r="H12" s="318"/>
    </row>
    <row r="13" spans="1:8" x14ac:dyDescent="0.25">
      <c r="A13" s="318"/>
      <c r="B13" s="318"/>
      <c r="C13" s="318"/>
      <c r="D13" s="318"/>
      <c r="E13" s="318"/>
      <c r="F13" s="318"/>
      <c r="G13" s="318"/>
      <c r="H13" s="318"/>
    </row>
    <row r="14" spans="1:8" x14ac:dyDescent="0.25">
      <c r="A14" s="318"/>
      <c r="B14" s="318"/>
      <c r="C14" s="318"/>
      <c r="D14" s="318"/>
      <c r="E14" s="318"/>
      <c r="F14" s="318"/>
      <c r="G14" s="318"/>
      <c r="H14" s="318"/>
    </row>
    <row r="15" spans="1:8" ht="19.5" customHeight="1" thickBot="1" x14ac:dyDescent="0.3"/>
    <row r="16" spans="1:8" ht="19.5" customHeight="1" thickBot="1" x14ac:dyDescent="0.3">
      <c r="A16" s="319" t="s">
        <v>26</v>
      </c>
      <c r="B16" s="320"/>
      <c r="C16" s="320"/>
      <c r="D16" s="320"/>
      <c r="E16" s="320"/>
      <c r="F16" s="320"/>
      <c r="G16" s="320"/>
      <c r="H16" s="321"/>
    </row>
    <row r="17" spans="1:14" ht="18.75" x14ac:dyDescent="0.3">
      <c r="A17" s="45" t="s">
        <v>42</v>
      </c>
      <c r="B17" s="45"/>
    </row>
    <row r="18" spans="1:14" ht="18.75" x14ac:dyDescent="0.3">
      <c r="A18" s="46" t="s">
        <v>28</v>
      </c>
      <c r="B18" s="322" t="s">
        <v>112</v>
      </c>
      <c r="C18" s="322"/>
      <c r="D18" s="47"/>
      <c r="E18" s="47"/>
    </row>
    <row r="19" spans="1:14" ht="26.25" x14ac:dyDescent="0.4">
      <c r="A19" s="46" t="s">
        <v>29</v>
      </c>
      <c r="B19" s="255" t="s">
        <v>124</v>
      </c>
      <c r="C19" s="49">
        <v>24</v>
      </c>
    </row>
    <row r="20" spans="1:14" ht="18.75" x14ac:dyDescent="0.3">
      <c r="A20" s="46" t="s">
        <v>30</v>
      </c>
      <c r="B20" s="48" t="s">
        <v>113</v>
      </c>
    </row>
    <row r="21" spans="1:14" ht="18.75" x14ac:dyDescent="0.3">
      <c r="A21" s="46" t="s">
        <v>31</v>
      </c>
      <c r="B21" s="50" t="s">
        <v>115</v>
      </c>
      <c r="C21" s="50"/>
      <c r="D21" s="50"/>
      <c r="E21" s="50"/>
      <c r="F21" s="50"/>
      <c r="G21" s="50"/>
      <c r="H21" s="50"/>
      <c r="I21" s="50"/>
    </row>
    <row r="22" spans="1:14" ht="26.25" x14ac:dyDescent="0.4">
      <c r="A22" s="46" t="s">
        <v>32</v>
      </c>
      <c r="B22" s="256">
        <v>42783</v>
      </c>
    </row>
    <row r="23" spans="1:14" ht="26.25" x14ac:dyDescent="0.4">
      <c r="A23" s="46" t="s">
        <v>33</v>
      </c>
      <c r="B23" s="256">
        <v>42786</v>
      </c>
    </row>
    <row r="24" spans="1:14" ht="18.75" x14ac:dyDescent="0.3">
      <c r="A24" s="46"/>
      <c r="B24" s="51"/>
    </row>
    <row r="25" spans="1:14" ht="18.75" x14ac:dyDescent="0.3">
      <c r="A25" s="52" t="s">
        <v>1</v>
      </c>
      <c r="B25" s="51"/>
    </row>
    <row r="26" spans="1:14" ht="26.25" customHeight="1" x14ac:dyDescent="0.4">
      <c r="A26" s="53" t="s">
        <v>4</v>
      </c>
      <c r="B26" s="54" t="s">
        <v>116</v>
      </c>
      <c r="C26" s="55"/>
    </row>
    <row r="27" spans="1:14" ht="26.25" customHeight="1" x14ac:dyDescent="0.4">
      <c r="A27" s="56" t="s">
        <v>43</v>
      </c>
      <c r="B27" s="57" t="s">
        <v>130</v>
      </c>
    </row>
    <row r="28" spans="1:14" ht="27" customHeight="1" thickBot="1" x14ac:dyDescent="0.45">
      <c r="A28" s="56" t="s">
        <v>5</v>
      </c>
      <c r="B28" s="57">
        <v>99.6</v>
      </c>
    </row>
    <row r="29" spans="1:14" s="10" customFormat="1" ht="27" customHeight="1" thickBot="1" x14ac:dyDescent="0.45">
      <c r="A29" s="56" t="s">
        <v>44</v>
      </c>
      <c r="B29" s="57">
        <v>0</v>
      </c>
      <c r="C29" s="323" t="s">
        <v>45</v>
      </c>
      <c r="D29" s="324"/>
      <c r="E29" s="324"/>
      <c r="F29" s="324"/>
      <c r="G29" s="325"/>
      <c r="I29" s="58"/>
      <c r="J29" s="58"/>
      <c r="K29" s="58"/>
      <c r="L29" s="58"/>
    </row>
    <row r="30" spans="1:14" s="10" customFormat="1" ht="19.5" customHeight="1" thickBot="1" x14ac:dyDescent="0.35">
      <c r="A30" s="56" t="s">
        <v>46</v>
      </c>
      <c r="B30" s="59">
        <f>B28-B29</f>
        <v>99.6</v>
      </c>
      <c r="C30" s="60"/>
      <c r="D30" s="60"/>
      <c r="E30" s="60"/>
      <c r="F30" s="60"/>
      <c r="G30" s="61"/>
      <c r="I30" s="58"/>
      <c r="J30" s="58"/>
      <c r="K30" s="58"/>
      <c r="L30" s="58"/>
    </row>
    <row r="31" spans="1:14" s="10" customFormat="1" ht="27" customHeight="1" thickBot="1" x14ac:dyDescent="0.45">
      <c r="A31" s="56" t="s">
        <v>47</v>
      </c>
      <c r="B31" s="257">
        <v>704.9</v>
      </c>
      <c r="C31" s="314" t="s">
        <v>48</v>
      </c>
      <c r="D31" s="315"/>
      <c r="E31" s="315"/>
      <c r="F31" s="315"/>
      <c r="G31" s="315"/>
      <c r="H31" s="316"/>
      <c r="I31" s="58"/>
      <c r="J31" s="58"/>
      <c r="K31" s="58"/>
      <c r="L31" s="58"/>
    </row>
    <row r="32" spans="1:14" s="10" customFormat="1" ht="27" customHeight="1" thickBot="1" x14ac:dyDescent="0.45">
      <c r="A32" s="56" t="s">
        <v>49</v>
      </c>
      <c r="B32" s="257">
        <v>802.9</v>
      </c>
      <c r="C32" s="314" t="s">
        <v>50</v>
      </c>
      <c r="D32" s="315"/>
      <c r="E32" s="315"/>
      <c r="F32" s="315"/>
      <c r="G32" s="315"/>
      <c r="H32" s="316"/>
      <c r="I32" s="58"/>
      <c r="J32" s="58"/>
      <c r="K32" s="58"/>
      <c r="L32" s="63"/>
      <c r="M32" s="63"/>
      <c r="N32" s="64"/>
    </row>
    <row r="33" spans="1:14" s="10" customFormat="1" ht="17.25" customHeight="1" x14ac:dyDescent="0.3">
      <c r="A33" s="56"/>
      <c r="B33" s="65"/>
      <c r="C33" s="66"/>
      <c r="D33" s="66"/>
      <c r="E33" s="66"/>
      <c r="F33" s="66"/>
      <c r="G33" s="66"/>
      <c r="H33" s="66"/>
      <c r="I33" s="58"/>
      <c r="J33" s="58"/>
      <c r="K33" s="58"/>
      <c r="L33" s="63"/>
      <c r="M33" s="63"/>
      <c r="N33" s="64"/>
    </row>
    <row r="34" spans="1:14" s="10" customFormat="1" ht="18.75" x14ac:dyDescent="0.3">
      <c r="A34" s="56" t="s">
        <v>51</v>
      </c>
      <c r="B34" s="67">
        <f>B31/B32</f>
        <v>0.87794245858761988</v>
      </c>
      <c r="C34" s="49" t="s">
        <v>52</v>
      </c>
      <c r="D34" s="49"/>
      <c r="E34" s="49"/>
      <c r="F34" s="49"/>
      <c r="G34" s="49"/>
      <c r="I34" s="58"/>
      <c r="J34" s="58"/>
      <c r="K34" s="58"/>
      <c r="L34" s="63"/>
      <c r="M34" s="63"/>
      <c r="N34" s="64"/>
    </row>
    <row r="35" spans="1:14" s="10" customFormat="1" ht="19.5" customHeight="1" thickBot="1" x14ac:dyDescent="0.35">
      <c r="A35" s="56"/>
      <c r="B35" s="59"/>
      <c r="G35" s="49"/>
      <c r="I35" s="58"/>
      <c r="J35" s="58"/>
      <c r="K35" s="58"/>
      <c r="L35" s="63"/>
      <c r="M35" s="63"/>
      <c r="N35" s="64"/>
    </row>
    <row r="36" spans="1:14" s="10" customFormat="1" ht="27" customHeight="1" thickBot="1" x14ac:dyDescent="0.45">
      <c r="A36" s="68" t="s">
        <v>53</v>
      </c>
      <c r="B36" s="69">
        <v>50</v>
      </c>
      <c r="C36" s="49"/>
      <c r="D36" s="326" t="s">
        <v>54</v>
      </c>
      <c r="E36" s="327"/>
      <c r="F36" s="326" t="s">
        <v>55</v>
      </c>
      <c r="G36" s="328"/>
      <c r="J36" s="58"/>
      <c r="K36" s="58"/>
      <c r="L36" s="63"/>
      <c r="M36" s="63"/>
      <c r="N36" s="64"/>
    </row>
    <row r="37" spans="1:14" s="10" customFormat="1" ht="15.75" customHeight="1" x14ac:dyDescent="0.4">
      <c r="A37" s="70" t="s">
        <v>56</v>
      </c>
      <c r="B37" s="71">
        <v>1</v>
      </c>
      <c r="C37" s="72" t="s">
        <v>57</v>
      </c>
      <c r="D37" s="73" t="s">
        <v>58</v>
      </c>
      <c r="E37" s="74" t="s">
        <v>59</v>
      </c>
      <c r="F37" s="73" t="s">
        <v>58</v>
      </c>
      <c r="G37" s="75" t="s">
        <v>59</v>
      </c>
      <c r="J37" s="58"/>
      <c r="K37" s="58"/>
      <c r="L37" s="63"/>
      <c r="M37" s="63"/>
      <c r="N37" s="64"/>
    </row>
    <row r="38" spans="1:14" s="10" customFormat="1" ht="26.25" customHeight="1" x14ac:dyDescent="0.4">
      <c r="A38" s="70" t="s">
        <v>60</v>
      </c>
      <c r="B38" s="71">
        <v>1</v>
      </c>
      <c r="C38" s="76">
        <v>1</v>
      </c>
      <c r="D38" s="77">
        <v>70279464</v>
      </c>
      <c r="E38" s="78">
        <f>IF(ISBLANK(D38),"-",$D$48/$D$45*D38)</f>
        <v>66469962.666983977</v>
      </c>
      <c r="F38" s="77">
        <v>73630227</v>
      </c>
      <c r="G38" s="79">
        <f>IF(ISBLANK(F38),"-",$D$48/$F$45*F38)</f>
        <v>67594646.849814653</v>
      </c>
      <c r="J38" s="58"/>
      <c r="K38" s="58"/>
      <c r="L38" s="63"/>
      <c r="M38" s="63"/>
      <c r="N38" s="64"/>
    </row>
    <row r="39" spans="1:14" s="10" customFormat="1" ht="26.25" customHeight="1" x14ac:dyDescent="0.4">
      <c r="A39" s="70" t="s">
        <v>61</v>
      </c>
      <c r="B39" s="71">
        <v>1</v>
      </c>
      <c r="C39" s="80">
        <v>2</v>
      </c>
      <c r="D39" s="81">
        <v>70687547</v>
      </c>
      <c r="E39" s="82">
        <f>IF(ISBLANK(D39),"-",$D$48/$D$45*D39)</f>
        <v>66855925.51062534</v>
      </c>
      <c r="F39" s="81">
        <v>74240655</v>
      </c>
      <c r="G39" s="83">
        <f>IF(ISBLANK(F39),"-",$D$48/$F$45*F39)</f>
        <v>68155037.15103209</v>
      </c>
      <c r="J39" s="58"/>
      <c r="K39" s="58"/>
      <c r="L39" s="63"/>
      <c r="M39" s="63"/>
      <c r="N39" s="64"/>
    </row>
    <row r="40" spans="1:14" ht="26.25" customHeight="1" x14ac:dyDescent="0.4">
      <c r="A40" s="70" t="s">
        <v>62</v>
      </c>
      <c r="B40" s="71">
        <v>1</v>
      </c>
      <c r="C40" s="80">
        <v>3</v>
      </c>
      <c r="D40" s="81">
        <v>70588579</v>
      </c>
      <c r="E40" s="82">
        <f>IF(ISBLANK(D40),"-",$D$48/$D$45*D40)</f>
        <v>66762322.075271502</v>
      </c>
      <c r="F40" s="81">
        <v>74393763</v>
      </c>
      <c r="G40" s="83">
        <f>IF(ISBLANK(F40),"-",$D$48/$F$45*F40)</f>
        <v>68295594.658614978</v>
      </c>
      <c r="L40" s="63"/>
      <c r="M40" s="63"/>
      <c r="N40" s="49"/>
    </row>
    <row r="41" spans="1:14" ht="26.25" customHeight="1" x14ac:dyDescent="0.4">
      <c r="A41" s="70" t="s">
        <v>63</v>
      </c>
      <c r="B41" s="71">
        <v>1</v>
      </c>
      <c r="C41" s="84">
        <v>4</v>
      </c>
      <c r="D41" s="85"/>
      <c r="E41" s="86" t="str">
        <f>IF(ISBLANK(D41),"-",$D$48/$D$45*D41)</f>
        <v>-</v>
      </c>
      <c r="F41" s="85"/>
      <c r="G41" s="87" t="str">
        <f>IF(ISBLANK(F41),"-",$D$48/$F$45*F41)</f>
        <v>-</v>
      </c>
      <c r="L41" s="63"/>
      <c r="M41" s="63"/>
      <c r="N41" s="49"/>
    </row>
    <row r="42" spans="1:14" ht="27" customHeight="1" thickBot="1" x14ac:dyDescent="0.45">
      <c r="A42" s="70" t="s">
        <v>64</v>
      </c>
      <c r="B42" s="71">
        <v>1</v>
      </c>
      <c r="C42" s="88" t="s">
        <v>65</v>
      </c>
      <c r="D42" s="89">
        <f>AVERAGE(D38:D41)</f>
        <v>70518530</v>
      </c>
      <c r="E42" s="90">
        <f>AVERAGE(E38:E41)</f>
        <v>66696070.084293604</v>
      </c>
      <c r="F42" s="91">
        <f>AVERAGE(F38:F41)</f>
        <v>74088215</v>
      </c>
      <c r="G42" s="92">
        <f>AVERAGE(G38:G41)</f>
        <v>68015092.886487246</v>
      </c>
      <c r="H42" s="37"/>
    </row>
    <row r="43" spans="1:14" ht="26.25" customHeight="1" x14ac:dyDescent="0.4">
      <c r="A43" s="70" t="s">
        <v>66</v>
      </c>
      <c r="B43" s="57">
        <v>1</v>
      </c>
      <c r="C43" s="93" t="s">
        <v>67</v>
      </c>
      <c r="D43" s="94">
        <v>10.58</v>
      </c>
      <c r="E43" s="49"/>
      <c r="F43" s="348">
        <v>10.9</v>
      </c>
      <c r="H43" s="37"/>
    </row>
    <row r="44" spans="1:14" ht="26.25" customHeight="1" x14ac:dyDescent="0.4">
      <c r="A44" s="70" t="s">
        <v>68</v>
      </c>
      <c r="B44" s="57">
        <v>1</v>
      </c>
      <c r="C44" s="96" t="s">
        <v>69</v>
      </c>
      <c r="D44" s="97">
        <f>D43*$B$34</f>
        <v>9.2886312118570178</v>
      </c>
      <c r="E44" s="98"/>
      <c r="F44" s="99">
        <f>F43*$B$34</f>
        <v>9.5695727986050567</v>
      </c>
      <c r="H44" s="37"/>
    </row>
    <row r="45" spans="1:14" ht="19.5" customHeight="1" thickBot="1" x14ac:dyDescent="0.35">
      <c r="A45" s="70" t="s">
        <v>70</v>
      </c>
      <c r="B45" s="59">
        <f>(B44/B43)*(B42/B41)*(B40/B39)*(B38/B37)*B36</f>
        <v>50</v>
      </c>
      <c r="C45" s="96" t="s">
        <v>71</v>
      </c>
      <c r="D45" s="100">
        <f>D44*$B$30/100</f>
        <v>9.251476687009589</v>
      </c>
      <c r="E45" s="101"/>
      <c r="F45" s="102">
        <f>F44*$B$30/100</f>
        <v>9.5312945074106352</v>
      </c>
      <c r="H45" s="37"/>
    </row>
    <row r="46" spans="1:14" ht="19.5" customHeight="1" thickBot="1" x14ac:dyDescent="0.35">
      <c r="A46" s="329" t="s">
        <v>72</v>
      </c>
      <c r="B46" s="330"/>
      <c r="C46" s="96" t="s">
        <v>73</v>
      </c>
      <c r="D46" s="97">
        <f>D45/$B$45</f>
        <v>0.18502953374019179</v>
      </c>
      <c r="E46" s="101"/>
      <c r="F46" s="103">
        <f>F45/$B$45</f>
        <v>0.19062589014821271</v>
      </c>
      <c r="H46" s="37"/>
    </row>
    <row r="47" spans="1:14" ht="27" customHeight="1" thickBot="1" x14ac:dyDescent="0.45">
      <c r="A47" s="331"/>
      <c r="B47" s="332"/>
      <c r="C47" s="96" t="s">
        <v>74</v>
      </c>
      <c r="D47" s="104">
        <v>0.17499999999999999</v>
      </c>
      <c r="F47" s="105"/>
      <c r="H47" s="37"/>
    </row>
    <row r="48" spans="1:14" ht="18.75" x14ac:dyDescent="0.3">
      <c r="C48" s="96" t="s">
        <v>75</v>
      </c>
      <c r="D48" s="97">
        <f>D47*$B$45</f>
        <v>8.75</v>
      </c>
      <c r="F48" s="105"/>
      <c r="H48" s="37"/>
    </row>
    <row r="49" spans="1:12" ht="19.5" customHeight="1" thickBot="1" x14ac:dyDescent="0.35">
      <c r="C49" s="106" t="s">
        <v>76</v>
      </c>
      <c r="D49" s="107">
        <f>D48/B34</f>
        <v>9.9664846077457803</v>
      </c>
      <c r="F49" s="108"/>
      <c r="H49" s="37"/>
    </row>
    <row r="50" spans="1:12" ht="18.75" x14ac:dyDescent="0.3">
      <c r="C50" s="109" t="s">
        <v>77</v>
      </c>
      <c r="D50" s="110">
        <f>AVERAGE(E38:E41,G38:G41)</f>
        <v>67355581.485390425</v>
      </c>
      <c r="F50" s="108"/>
      <c r="H50" s="37"/>
    </row>
    <row r="51" spans="1:12" ht="18.75" x14ac:dyDescent="0.3">
      <c r="C51" s="111" t="s">
        <v>78</v>
      </c>
      <c r="D51" s="112">
        <f>STDEV(E38:E41,G38:G41)/D50</f>
        <v>1.1434449451413694E-2</v>
      </c>
      <c r="F51" s="108"/>
    </row>
    <row r="52" spans="1:12" ht="19.5" customHeight="1" thickBot="1" x14ac:dyDescent="0.35">
      <c r="C52" s="113" t="s">
        <v>15</v>
      </c>
      <c r="D52" s="114">
        <f>COUNT(E38:E41,G38:G41)</f>
        <v>6</v>
      </c>
      <c r="F52" s="108"/>
    </row>
    <row r="54" spans="1:12" ht="18.75" x14ac:dyDescent="0.3">
      <c r="A54" s="45" t="s">
        <v>1</v>
      </c>
      <c r="B54" s="115" t="s">
        <v>79</v>
      </c>
    </row>
    <row r="55" spans="1:12" ht="18.75" x14ac:dyDescent="0.3">
      <c r="A55" s="49" t="s">
        <v>80</v>
      </c>
      <c r="B55" s="116" t="str">
        <f>B21</f>
        <v xml:space="preserve">EACH TABLETS CONTAINS ATAZANAVIR AND RITONAVIR TALETS 300/100 </v>
      </c>
    </row>
    <row r="56" spans="1:12" ht="26.25" customHeight="1" x14ac:dyDescent="0.4">
      <c r="A56" s="116" t="s">
        <v>81</v>
      </c>
      <c r="B56" s="57">
        <v>300</v>
      </c>
      <c r="C56" s="49" t="str">
        <f>B20</f>
        <v>ATAZANAVIR</v>
      </c>
      <c r="H56" s="98"/>
    </row>
    <row r="57" spans="1:12" ht="18.75" x14ac:dyDescent="0.3">
      <c r="A57" s="116" t="s">
        <v>82</v>
      </c>
      <c r="B57" s="117">
        <f>Uniformity!C46</f>
        <v>1962.3735000000004</v>
      </c>
      <c r="H57" s="98"/>
    </row>
    <row r="58" spans="1:12" ht="19.5" customHeight="1" thickBot="1" x14ac:dyDescent="0.35">
      <c r="H58" s="98"/>
    </row>
    <row r="59" spans="1:12" s="10" customFormat="1" ht="27" customHeight="1" thickBot="1" x14ac:dyDescent="0.45">
      <c r="A59" s="68" t="s">
        <v>83</v>
      </c>
      <c r="B59" s="69">
        <v>200</v>
      </c>
      <c r="C59" s="49"/>
      <c r="D59" s="118" t="s">
        <v>84</v>
      </c>
      <c r="E59" s="119" t="s">
        <v>85</v>
      </c>
      <c r="F59" s="119" t="s">
        <v>58</v>
      </c>
      <c r="G59" s="119" t="s">
        <v>86</v>
      </c>
      <c r="H59" s="72" t="s">
        <v>87</v>
      </c>
      <c r="L59" s="58"/>
    </row>
    <row r="60" spans="1:12" s="10" customFormat="1" ht="22.5" customHeight="1" x14ac:dyDescent="0.4">
      <c r="A60" s="70" t="s">
        <v>88</v>
      </c>
      <c r="B60" s="71">
        <v>3</v>
      </c>
      <c r="C60" s="333" t="s">
        <v>89</v>
      </c>
      <c r="D60" s="336">
        <v>1961.93</v>
      </c>
      <c r="E60" s="120">
        <v>1</v>
      </c>
      <c r="F60" s="121">
        <v>69159295</v>
      </c>
      <c r="G60" s="122">
        <f>IF(ISBLANK(F60),"-",(F60/$D$50*$D$47*$B$68)*($B$57/$D$60))</f>
        <v>299.54489909135697</v>
      </c>
      <c r="H60" s="123">
        <f t="shared" ref="H60:H71" si="0">IF(ISBLANK(F60),"-",G60/$B$56)</f>
        <v>0.99848299697118992</v>
      </c>
      <c r="L60" s="58"/>
    </row>
    <row r="61" spans="1:12" s="10" customFormat="1" ht="26.25" customHeight="1" x14ac:dyDescent="0.4">
      <c r="A61" s="70" t="s">
        <v>90</v>
      </c>
      <c r="B61" s="71">
        <v>25</v>
      </c>
      <c r="C61" s="334"/>
      <c r="D61" s="337"/>
      <c r="E61" s="124">
        <v>2</v>
      </c>
      <c r="F61" s="81">
        <v>68935863</v>
      </c>
      <c r="G61" s="125">
        <f>IF(ISBLANK(F61),"-",(F61/$D$50*$D$47*$B$68)*($B$57/$D$60))</f>
        <v>298.57716343277662</v>
      </c>
      <c r="H61" s="126">
        <f t="shared" si="0"/>
        <v>0.99525721144258872</v>
      </c>
      <c r="L61" s="58"/>
    </row>
    <row r="62" spans="1:12" s="10" customFormat="1" ht="26.25" customHeight="1" x14ac:dyDescent="0.4">
      <c r="A62" s="70" t="s">
        <v>91</v>
      </c>
      <c r="B62" s="71">
        <v>1</v>
      </c>
      <c r="C62" s="334"/>
      <c r="D62" s="337"/>
      <c r="E62" s="124">
        <v>3</v>
      </c>
      <c r="F62" s="81">
        <v>68670680</v>
      </c>
      <c r="G62" s="125">
        <f>IF(ISBLANK(F62),"-",(F62/$D$50*$D$47*$B$68)*($B$57/$D$60))</f>
        <v>297.42859453866419</v>
      </c>
      <c r="H62" s="126">
        <f t="shared" si="0"/>
        <v>0.9914286484622139</v>
      </c>
      <c r="L62" s="58"/>
    </row>
    <row r="63" spans="1:12" ht="21" customHeight="1" thickBot="1" x14ac:dyDescent="0.45">
      <c r="A63" s="70" t="s">
        <v>92</v>
      </c>
      <c r="B63" s="71">
        <v>1</v>
      </c>
      <c r="C63" s="335"/>
      <c r="D63" s="338"/>
      <c r="E63" s="127">
        <v>4</v>
      </c>
      <c r="F63" s="128"/>
      <c r="G63" s="125" t="str">
        <f>IF(ISBLANK(F63),"-",(F63/$D$50*$D$47*$B$68)*($B$57/$D$60))</f>
        <v>-</v>
      </c>
      <c r="H63" s="126" t="str">
        <f t="shared" si="0"/>
        <v>-</v>
      </c>
    </row>
    <row r="64" spans="1:12" ht="26.25" customHeight="1" x14ac:dyDescent="0.4">
      <c r="A64" s="70" t="s">
        <v>93</v>
      </c>
      <c r="B64" s="71">
        <v>1</v>
      </c>
      <c r="C64" s="333" t="s">
        <v>94</v>
      </c>
      <c r="D64" s="336">
        <v>1963.91</v>
      </c>
      <c r="E64" s="120">
        <v>1</v>
      </c>
      <c r="F64" s="121">
        <v>68673857</v>
      </c>
      <c r="G64" s="129">
        <f>IF(ISBLANK(F64),"-",(F64/$D$50*$D$47*$B$68)*($B$57/$D$64))</f>
        <v>297.14247560789431</v>
      </c>
      <c r="H64" s="130">
        <f t="shared" si="0"/>
        <v>0.99047491869298099</v>
      </c>
    </row>
    <row r="65" spans="1:8" ht="26.25" customHeight="1" x14ac:dyDescent="0.4">
      <c r="A65" s="70" t="s">
        <v>95</v>
      </c>
      <c r="B65" s="71">
        <v>1</v>
      </c>
      <c r="C65" s="334"/>
      <c r="D65" s="337"/>
      <c r="E65" s="124">
        <v>2</v>
      </c>
      <c r="F65" s="81">
        <v>68844392</v>
      </c>
      <c r="G65" s="131">
        <f>IF(ISBLANK(F65),"-",(F65/$D$50*$D$47*$B$68)*($B$57/$D$64))</f>
        <v>297.88035744956505</v>
      </c>
      <c r="H65" s="132">
        <f t="shared" si="0"/>
        <v>0.99293452483188349</v>
      </c>
    </row>
    <row r="66" spans="1:8" ht="26.25" customHeight="1" x14ac:dyDescent="0.4">
      <c r="A66" s="70" t="s">
        <v>96</v>
      </c>
      <c r="B66" s="71">
        <v>1</v>
      </c>
      <c r="C66" s="334"/>
      <c r="D66" s="337"/>
      <c r="E66" s="124">
        <v>3</v>
      </c>
      <c r="F66" s="81">
        <v>68609529</v>
      </c>
      <c r="G66" s="131">
        <f>IF(ISBLANK(F66),"-",(F66/$D$50*$D$47*$B$68)*($B$57/$D$64))</f>
        <v>296.86413706676797</v>
      </c>
      <c r="H66" s="132">
        <f t="shared" si="0"/>
        <v>0.98954712355589325</v>
      </c>
    </row>
    <row r="67" spans="1:8" ht="21" customHeight="1" thickBot="1" x14ac:dyDescent="0.45">
      <c r="A67" s="70" t="s">
        <v>97</v>
      </c>
      <c r="B67" s="71">
        <v>1</v>
      </c>
      <c r="C67" s="335"/>
      <c r="D67" s="338"/>
      <c r="E67" s="127">
        <v>4</v>
      </c>
      <c r="F67" s="128"/>
      <c r="G67" s="133" t="str">
        <f>IF(ISBLANK(F67),"-",(F67/$D$50*$D$47*$B$68)*($B$57/$D$64))</f>
        <v>-</v>
      </c>
      <c r="H67" s="134" t="str">
        <f t="shared" si="0"/>
        <v>-</v>
      </c>
    </row>
    <row r="68" spans="1:8" ht="21.75" customHeight="1" x14ac:dyDescent="0.4">
      <c r="A68" s="70" t="s">
        <v>98</v>
      </c>
      <c r="B68" s="135">
        <f>(B67/B66)*(B65/B64)*(B63/B62)*(B61/B60)*B59</f>
        <v>1666.6666666666667</v>
      </c>
      <c r="C68" s="333" t="s">
        <v>99</v>
      </c>
      <c r="D68" s="336">
        <v>1961.8</v>
      </c>
      <c r="E68" s="120">
        <v>1</v>
      </c>
      <c r="F68" s="121">
        <v>67515113</v>
      </c>
      <c r="G68" s="129">
        <f>IF(ISBLANK(F68),"-",(F68/$D$50*$D$47*$B$68)*($B$57/$D$68))</f>
        <v>292.44294429234805</v>
      </c>
      <c r="H68" s="126">
        <f t="shared" si="0"/>
        <v>0.97480981430782687</v>
      </c>
    </row>
    <row r="69" spans="1:8" ht="21.75" customHeight="1" thickBot="1" x14ac:dyDescent="0.45">
      <c r="A69" s="136" t="s">
        <v>100</v>
      </c>
      <c r="B69" s="137">
        <f>D47*B68/B56*B57</f>
        <v>1907.8631250000005</v>
      </c>
      <c r="C69" s="334"/>
      <c r="D69" s="337"/>
      <c r="E69" s="124">
        <v>2</v>
      </c>
      <c r="F69" s="81">
        <v>67564297</v>
      </c>
      <c r="G69" s="131">
        <f>IF(ISBLANK(F69),"-",(F69/$D$50*$D$47*$B$68)*($B$57/$D$68))</f>
        <v>292.65598568608857</v>
      </c>
      <c r="H69" s="126">
        <f t="shared" si="0"/>
        <v>0.97551995228696187</v>
      </c>
    </row>
    <row r="70" spans="1:8" ht="22.5" customHeight="1" x14ac:dyDescent="0.4">
      <c r="A70" s="342" t="s">
        <v>72</v>
      </c>
      <c r="B70" s="343"/>
      <c r="C70" s="334"/>
      <c r="D70" s="337"/>
      <c r="E70" s="124">
        <v>3</v>
      </c>
      <c r="F70" s="81">
        <v>67596744</v>
      </c>
      <c r="G70" s="131">
        <f>IF(ISBLANK(F70),"-",(F70/$D$50*$D$47*$B$68)*($B$57/$D$68))</f>
        <v>292.79653045883384</v>
      </c>
      <c r="H70" s="126">
        <f t="shared" si="0"/>
        <v>0.97598843486277953</v>
      </c>
    </row>
    <row r="71" spans="1:8" ht="21.75" customHeight="1" thickBot="1" x14ac:dyDescent="0.45">
      <c r="A71" s="344"/>
      <c r="B71" s="345"/>
      <c r="C71" s="341"/>
      <c r="D71" s="338"/>
      <c r="E71" s="127">
        <v>4</v>
      </c>
      <c r="F71" s="128"/>
      <c r="G71" s="133" t="str">
        <f>IF(ISBLANK(F71),"-",(F71/$D$50*$D$47*$B$68)*($B$57/$D$68))</f>
        <v>-</v>
      </c>
      <c r="H71" s="138" t="str">
        <f t="shared" si="0"/>
        <v>-</v>
      </c>
    </row>
    <row r="72" spans="1:8" ht="26.25" customHeight="1" x14ac:dyDescent="0.4">
      <c r="A72" s="98"/>
      <c r="B72" s="98"/>
      <c r="C72" s="98"/>
      <c r="D72" s="98"/>
      <c r="E72" s="98"/>
      <c r="F72" s="98"/>
      <c r="G72" s="139" t="s">
        <v>65</v>
      </c>
      <c r="H72" s="140">
        <f>AVERAGE(H60:H71)</f>
        <v>0.98716040282381323</v>
      </c>
    </row>
    <row r="73" spans="1:8" ht="26.25" customHeight="1" x14ac:dyDescent="0.4">
      <c r="C73" s="98"/>
      <c r="D73" s="98"/>
      <c r="E73" s="98"/>
      <c r="F73" s="98"/>
      <c r="G73" s="111" t="s">
        <v>78</v>
      </c>
      <c r="H73" s="141">
        <f>STDEV(H60:H71)/H72</f>
        <v>9.3040278600797048E-3</v>
      </c>
    </row>
    <row r="74" spans="1:8" ht="27" customHeight="1" thickBot="1" x14ac:dyDescent="0.45">
      <c r="A74" s="98"/>
      <c r="B74" s="98"/>
      <c r="C74" s="98"/>
      <c r="D74" s="98"/>
      <c r="E74" s="101"/>
      <c r="F74" s="98"/>
      <c r="G74" s="113" t="s">
        <v>15</v>
      </c>
      <c r="H74" s="142">
        <f>COUNT(H60:H71)</f>
        <v>9</v>
      </c>
    </row>
    <row r="75" spans="1:8" ht="18.75" x14ac:dyDescent="0.3">
      <c r="A75" s="98"/>
      <c r="B75" s="98"/>
      <c r="C75" s="98"/>
      <c r="D75" s="98"/>
      <c r="E75" s="101"/>
      <c r="F75" s="98"/>
      <c r="G75" s="56"/>
      <c r="H75" s="59"/>
    </row>
    <row r="76" spans="1:8" ht="18.75" x14ac:dyDescent="0.3">
      <c r="A76" s="53" t="s">
        <v>101</v>
      </c>
      <c r="B76" s="56" t="s">
        <v>102</v>
      </c>
      <c r="C76" s="346" t="str">
        <f>B20</f>
        <v>ATAZANAVIR</v>
      </c>
      <c r="D76" s="346"/>
      <c r="E76" s="49" t="s">
        <v>103</v>
      </c>
      <c r="F76" s="49"/>
      <c r="G76" s="143">
        <f>H72</f>
        <v>0.98716040282381323</v>
      </c>
      <c r="H76" s="59"/>
    </row>
    <row r="77" spans="1:8" ht="18.75" x14ac:dyDescent="0.3">
      <c r="A77" s="98"/>
      <c r="B77" s="98"/>
      <c r="C77" s="98"/>
      <c r="D77" s="98"/>
      <c r="E77" s="101"/>
      <c r="F77" s="98"/>
      <c r="G77" s="56"/>
      <c r="H77" s="59"/>
    </row>
    <row r="78" spans="1:8" ht="26.25" customHeight="1" x14ac:dyDescent="0.4">
      <c r="A78" s="52" t="s">
        <v>104</v>
      </c>
      <c r="B78" s="52" t="s">
        <v>105</v>
      </c>
      <c r="D78" s="144">
        <v>45</v>
      </c>
    </row>
    <row r="79" spans="1:8" ht="18.75" x14ac:dyDescent="0.3">
      <c r="A79" s="52"/>
      <c r="B79" s="52"/>
    </row>
    <row r="80" spans="1:8" ht="26.25" customHeight="1" x14ac:dyDescent="0.4">
      <c r="A80" s="53" t="s">
        <v>4</v>
      </c>
      <c r="B80" s="57" t="str">
        <f>B26</f>
        <v>Atazanavi Sulfate</v>
      </c>
      <c r="C80" s="55"/>
    </row>
    <row r="81" spans="1:12" ht="26.25" customHeight="1" x14ac:dyDescent="0.4">
      <c r="A81" s="56" t="s">
        <v>43</v>
      </c>
      <c r="B81" s="57" t="str">
        <f>B27</f>
        <v>NQCL-PRS-A48-3</v>
      </c>
    </row>
    <row r="82" spans="1:12" ht="27" customHeight="1" thickBot="1" x14ac:dyDescent="0.45">
      <c r="A82" s="56" t="s">
        <v>5</v>
      </c>
      <c r="B82" s="57">
        <f>B28</f>
        <v>99.6</v>
      </c>
    </row>
    <row r="83" spans="1:12" s="10" customFormat="1" ht="27" customHeight="1" thickBot="1" x14ac:dyDescent="0.45">
      <c r="A83" s="56" t="s">
        <v>44</v>
      </c>
      <c r="B83" s="57">
        <f>B29</f>
        <v>0</v>
      </c>
      <c r="C83" s="323" t="s">
        <v>45</v>
      </c>
      <c r="D83" s="324"/>
      <c r="E83" s="324"/>
      <c r="F83" s="324"/>
      <c r="G83" s="325"/>
      <c r="I83" s="58"/>
      <c r="J83" s="58"/>
      <c r="K83" s="58"/>
      <c r="L83" s="58"/>
    </row>
    <row r="84" spans="1:12" s="10" customFormat="1" ht="18.75" x14ac:dyDescent="0.3">
      <c r="A84" s="56" t="s">
        <v>46</v>
      </c>
      <c r="B84" s="59">
        <f>B82-B83</f>
        <v>99.6</v>
      </c>
      <c r="C84" s="60"/>
      <c r="D84" s="60"/>
      <c r="E84" s="60"/>
      <c r="F84" s="60"/>
      <c r="G84" s="61"/>
      <c r="I84" s="58"/>
      <c r="J84" s="58"/>
      <c r="K84" s="58"/>
      <c r="L84" s="58"/>
    </row>
    <row r="85" spans="1:12" s="10" customFormat="1" ht="19.5" customHeight="1" thickBot="1" x14ac:dyDescent="0.35">
      <c r="A85" s="56"/>
      <c r="B85" s="59"/>
      <c r="C85" s="60"/>
      <c r="D85" s="60"/>
      <c r="E85" s="60"/>
      <c r="F85" s="60"/>
      <c r="G85" s="61"/>
      <c r="I85" s="58"/>
      <c r="J85" s="58"/>
      <c r="K85" s="58"/>
      <c r="L85" s="58"/>
    </row>
    <row r="86" spans="1:12" s="10" customFormat="1" ht="27" customHeight="1" thickBot="1" x14ac:dyDescent="0.45">
      <c r="A86" s="56" t="s">
        <v>47</v>
      </c>
      <c r="B86" s="257">
        <v>704.9</v>
      </c>
      <c r="C86" s="314" t="s">
        <v>48</v>
      </c>
      <c r="D86" s="315"/>
      <c r="E86" s="315"/>
      <c r="F86" s="315"/>
      <c r="G86" s="315"/>
      <c r="H86" s="316"/>
      <c r="I86" s="58"/>
      <c r="J86" s="58"/>
      <c r="K86" s="58"/>
      <c r="L86" s="58"/>
    </row>
    <row r="87" spans="1:12" s="10" customFormat="1" ht="27" customHeight="1" thickBot="1" x14ac:dyDescent="0.45">
      <c r="A87" s="56" t="s">
        <v>49</v>
      </c>
      <c r="B87" s="257">
        <v>802.9</v>
      </c>
      <c r="C87" s="314" t="s">
        <v>50</v>
      </c>
      <c r="D87" s="315"/>
      <c r="E87" s="315"/>
      <c r="F87" s="315"/>
      <c r="G87" s="315"/>
      <c r="H87" s="316"/>
      <c r="I87" s="58"/>
      <c r="J87" s="58"/>
      <c r="K87" s="58"/>
      <c r="L87" s="58"/>
    </row>
    <row r="88" spans="1:12" s="10" customFormat="1" ht="18.75" x14ac:dyDescent="0.3">
      <c r="A88" s="56"/>
      <c r="B88" s="59"/>
      <c r="C88" s="60"/>
      <c r="D88" s="60"/>
      <c r="E88" s="60"/>
      <c r="F88" s="60"/>
      <c r="G88" s="61"/>
      <c r="I88" s="58"/>
      <c r="J88" s="58"/>
      <c r="K88" s="58"/>
      <c r="L88" s="58"/>
    </row>
    <row r="89" spans="1:12" ht="18.75" x14ac:dyDescent="0.3">
      <c r="A89" s="56" t="s">
        <v>51</v>
      </c>
      <c r="B89" s="67">
        <f>B86/B87</f>
        <v>0.87794245858761988</v>
      </c>
      <c r="C89" s="49" t="s">
        <v>52</v>
      </c>
    </row>
    <row r="90" spans="1:12" ht="19.5" customHeight="1" thickBot="1" x14ac:dyDescent="0.35">
      <c r="A90" s="56"/>
      <c r="B90" s="67"/>
    </row>
    <row r="91" spans="1:12" ht="27" customHeight="1" thickBot="1" x14ac:dyDescent="0.45">
      <c r="A91" s="68" t="s">
        <v>53</v>
      </c>
      <c r="B91" s="69">
        <v>25</v>
      </c>
      <c r="D91" s="145" t="s">
        <v>54</v>
      </c>
      <c r="E91" s="146"/>
      <c r="F91" s="326" t="s">
        <v>55</v>
      </c>
      <c r="G91" s="328"/>
    </row>
    <row r="92" spans="1:12" ht="26.25" customHeight="1" x14ac:dyDescent="0.4">
      <c r="A92" s="70" t="s">
        <v>56</v>
      </c>
      <c r="B92" s="71">
        <v>10</v>
      </c>
      <c r="C92" s="147" t="s">
        <v>57</v>
      </c>
      <c r="D92" s="73" t="s">
        <v>58</v>
      </c>
      <c r="E92" s="74" t="s">
        <v>59</v>
      </c>
      <c r="F92" s="73" t="s">
        <v>58</v>
      </c>
      <c r="G92" s="75" t="s">
        <v>59</v>
      </c>
    </row>
    <row r="93" spans="1:12" ht="26.25" customHeight="1" x14ac:dyDescent="0.4">
      <c r="A93" s="70" t="s">
        <v>60</v>
      </c>
      <c r="B93" s="71">
        <v>20</v>
      </c>
      <c r="C93" s="148">
        <v>1</v>
      </c>
      <c r="D93" s="77">
        <v>49748026</v>
      </c>
      <c r="E93" s="78">
        <f>IF(ISBLANK(D93),"-",$D$103/$D$100*D93)</f>
        <v>59386120.131553583</v>
      </c>
      <c r="F93" s="77">
        <v>54371047</v>
      </c>
      <c r="G93" s="79">
        <f>IF(ISBLANK(F93),"-",$D$103/$F$100*F93)</f>
        <v>60328714.937278859</v>
      </c>
    </row>
    <row r="94" spans="1:12" ht="26.25" customHeight="1" x14ac:dyDescent="0.4">
      <c r="A94" s="70" t="s">
        <v>61</v>
      </c>
      <c r="B94" s="71">
        <v>1</v>
      </c>
      <c r="C94" s="98">
        <v>2</v>
      </c>
      <c r="D94" s="81">
        <v>49788395</v>
      </c>
      <c r="E94" s="82">
        <f>IF(ISBLANK(D94),"-",$D$103/$D$100*D94)</f>
        <v>59434310.14985884</v>
      </c>
      <c r="F94" s="81">
        <v>54360841</v>
      </c>
      <c r="G94" s="83">
        <f>IF(ISBLANK(F94),"-",$D$103/$F$100*F94)</f>
        <v>60317390.622250497</v>
      </c>
    </row>
    <row r="95" spans="1:12" ht="26.25" customHeight="1" x14ac:dyDescent="0.4">
      <c r="A95" s="70" t="s">
        <v>62</v>
      </c>
      <c r="B95" s="71">
        <v>1</v>
      </c>
      <c r="C95" s="98">
        <v>3</v>
      </c>
      <c r="D95" s="81">
        <v>49890322</v>
      </c>
      <c r="E95" s="82">
        <f>IF(ISBLANK(D95),"-",$D$103/$D$100*D95)</f>
        <v>59555984.305666529</v>
      </c>
      <c r="F95" s="81">
        <v>54434590</v>
      </c>
      <c r="G95" s="83">
        <f>IF(ISBLANK(F95),"-",$D$103/$F$100*F95)</f>
        <v>60399220.615296416</v>
      </c>
    </row>
    <row r="96" spans="1:12" ht="26.25" customHeight="1" x14ac:dyDescent="0.4">
      <c r="A96" s="70" t="s">
        <v>63</v>
      </c>
      <c r="B96" s="71">
        <v>1</v>
      </c>
      <c r="C96" s="149">
        <v>4</v>
      </c>
      <c r="D96" s="85"/>
      <c r="E96" s="86" t="str">
        <f>IF(ISBLANK(D96),"-",$D$103/$D$100*D96)</f>
        <v>-</v>
      </c>
      <c r="F96" s="150"/>
      <c r="G96" s="87" t="str">
        <f>IF(ISBLANK(F96),"-",$D$103/$F$100*F96)</f>
        <v>-</v>
      </c>
    </row>
    <row r="97" spans="1:10" ht="27" customHeight="1" thickBot="1" x14ac:dyDescent="0.45">
      <c r="A97" s="70" t="s">
        <v>64</v>
      </c>
      <c r="B97" s="71">
        <v>1</v>
      </c>
      <c r="C97" s="56" t="s">
        <v>65</v>
      </c>
      <c r="D97" s="151">
        <f>AVERAGE(D93:D96)</f>
        <v>49808914.333333336</v>
      </c>
      <c r="E97" s="90">
        <f>AVERAGE(E93:E96)</f>
        <v>59458804.86235965</v>
      </c>
      <c r="F97" s="152">
        <f>AVERAGE(F93:F96)</f>
        <v>54388826</v>
      </c>
      <c r="G97" s="153">
        <f>AVERAGE(G93:G96)</f>
        <v>60348442.05827526</v>
      </c>
    </row>
    <row r="98" spans="1:10" ht="26.25" customHeight="1" x14ac:dyDescent="0.4">
      <c r="A98" s="70" t="s">
        <v>66</v>
      </c>
      <c r="B98" s="57">
        <v>1</v>
      </c>
      <c r="C98" s="93" t="s">
        <v>67</v>
      </c>
      <c r="D98" s="94">
        <v>14.37</v>
      </c>
      <c r="E98" s="49"/>
      <c r="F98" s="95">
        <v>15.46</v>
      </c>
    </row>
    <row r="99" spans="1:10" ht="26.25" customHeight="1" x14ac:dyDescent="0.4">
      <c r="A99" s="70" t="s">
        <v>68</v>
      </c>
      <c r="B99" s="57">
        <v>1</v>
      </c>
      <c r="C99" s="96" t="s">
        <v>69</v>
      </c>
      <c r="D99" s="97">
        <f>D98*$B$89</f>
        <v>12.616033129904096</v>
      </c>
      <c r="E99" s="98"/>
      <c r="F99" s="99">
        <f>F98*$B$89</f>
        <v>13.572990409764603</v>
      </c>
    </row>
    <row r="100" spans="1:10" ht="19.5" customHeight="1" thickBot="1" x14ac:dyDescent="0.35">
      <c r="A100" s="70" t="s">
        <v>70</v>
      </c>
      <c r="B100" s="59">
        <f>(B99/B98)*(B97/B96)*(B95/B94)*(B93/B92)*B91</f>
        <v>50</v>
      </c>
      <c r="C100" s="96" t="s">
        <v>71</v>
      </c>
      <c r="D100" s="100">
        <f>D99*$B$84/100</f>
        <v>12.56556899738448</v>
      </c>
      <c r="E100" s="101"/>
      <c r="F100" s="102">
        <f>F99*$B$84/100</f>
        <v>13.518698448125544</v>
      </c>
    </row>
    <row r="101" spans="1:10" ht="19.5" customHeight="1" thickBot="1" x14ac:dyDescent="0.35">
      <c r="A101" s="329" t="s">
        <v>72</v>
      </c>
      <c r="B101" s="330"/>
      <c r="C101" s="96" t="s">
        <v>73</v>
      </c>
      <c r="D101" s="97">
        <f>D100/$B$100</f>
        <v>0.25131137994768959</v>
      </c>
      <c r="E101" s="101"/>
      <c r="F101" s="103">
        <f>F100/$B$100</f>
        <v>0.27037396896251087</v>
      </c>
      <c r="H101" s="37"/>
    </row>
    <row r="102" spans="1:10" ht="19.5" customHeight="1" thickBot="1" x14ac:dyDescent="0.35">
      <c r="A102" s="331"/>
      <c r="B102" s="332"/>
      <c r="C102" s="96" t="s">
        <v>74</v>
      </c>
      <c r="D102" s="100">
        <f>$B$56/$B$118</f>
        <v>0.3</v>
      </c>
      <c r="F102" s="105"/>
      <c r="G102" s="154"/>
      <c r="H102" s="37"/>
    </row>
    <row r="103" spans="1:10" ht="18.75" x14ac:dyDescent="0.3">
      <c r="C103" s="96" t="s">
        <v>75</v>
      </c>
      <c r="D103" s="97">
        <f>D102*$B$100</f>
        <v>15</v>
      </c>
      <c r="F103" s="105"/>
      <c r="H103" s="37"/>
    </row>
    <row r="104" spans="1:10" ht="19.5" customHeight="1" thickBot="1" x14ac:dyDescent="0.35">
      <c r="C104" s="106" t="s">
        <v>76</v>
      </c>
      <c r="D104" s="107">
        <f>D103/B34</f>
        <v>17.08540218470705</v>
      </c>
      <c r="F104" s="108"/>
      <c r="H104" s="37"/>
      <c r="J104" s="155"/>
    </row>
    <row r="105" spans="1:10" ht="18.75" x14ac:dyDescent="0.3">
      <c r="C105" s="109" t="s">
        <v>77</v>
      </c>
      <c r="D105" s="110">
        <f>AVERAGE(E93:E96,G93:G96)</f>
        <v>59903623.460317463</v>
      </c>
      <c r="F105" s="108"/>
      <c r="G105" s="154"/>
      <c r="H105" s="37"/>
      <c r="J105" s="156"/>
    </row>
    <row r="106" spans="1:10" ht="18.75" x14ac:dyDescent="0.3">
      <c r="C106" s="111" t="s">
        <v>78</v>
      </c>
      <c r="D106" s="157">
        <f>STDEV(E93:E96,G93:G96)/D105</f>
        <v>8.2000180829194559E-3</v>
      </c>
      <c r="F106" s="108"/>
      <c r="H106" s="37"/>
      <c r="J106" s="156"/>
    </row>
    <row r="107" spans="1:10" ht="19.5" customHeight="1" thickBot="1" x14ac:dyDescent="0.35">
      <c r="C107" s="113" t="s">
        <v>15</v>
      </c>
      <c r="D107" s="158">
        <f>COUNT(E93:E96,G93:G96)</f>
        <v>6</v>
      </c>
      <c r="F107" s="108"/>
      <c r="H107" s="37"/>
      <c r="J107" s="156"/>
    </row>
    <row r="108" spans="1:10" ht="19.5" customHeight="1" thickBot="1" x14ac:dyDescent="0.35">
      <c r="A108" s="45"/>
      <c r="B108" s="45"/>
      <c r="C108" s="45"/>
      <c r="D108" s="45"/>
      <c r="E108" s="45"/>
    </row>
    <row r="109" spans="1:10" ht="26.25" customHeight="1" x14ac:dyDescent="0.4">
      <c r="A109" s="68" t="s">
        <v>106</v>
      </c>
      <c r="B109" s="69">
        <v>1000</v>
      </c>
      <c r="C109" s="145" t="s">
        <v>107</v>
      </c>
      <c r="D109" s="159" t="s">
        <v>58</v>
      </c>
      <c r="E109" s="160" t="s">
        <v>108</v>
      </c>
      <c r="F109" s="161" t="s">
        <v>109</v>
      </c>
    </row>
    <row r="110" spans="1:10" ht="26.25" customHeight="1" x14ac:dyDescent="0.4">
      <c r="A110" s="70" t="s">
        <v>88</v>
      </c>
      <c r="B110" s="71">
        <v>1</v>
      </c>
      <c r="C110" s="162">
        <v>1</v>
      </c>
      <c r="D110" s="163">
        <v>35491829</v>
      </c>
      <c r="E110" s="164">
        <f t="shared" ref="E110:E115" si="1">IF(ISBLANK(D110),"-",D110/$D$105*$D$102*$B$118)</f>
        <v>177.74465190829997</v>
      </c>
      <c r="F110" s="165">
        <f t="shared" ref="F110:F115" si="2">IF(ISBLANK(D110), "-", E110/$B$56)</f>
        <v>0.59248217302766659</v>
      </c>
    </row>
    <row r="111" spans="1:10" ht="26.25" customHeight="1" x14ac:dyDescent="0.4">
      <c r="A111" s="70" t="s">
        <v>90</v>
      </c>
      <c r="B111" s="71">
        <v>1</v>
      </c>
      <c r="C111" s="162">
        <v>2</v>
      </c>
      <c r="D111" s="163">
        <v>35752402</v>
      </c>
      <c r="E111" s="166">
        <f t="shared" si="1"/>
        <v>179.04961303559779</v>
      </c>
      <c r="F111" s="167">
        <f t="shared" si="2"/>
        <v>0.59683204345199259</v>
      </c>
    </row>
    <row r="112" spans="1:10" ht="26.25" customHeight="1" x14ac:dyDescent="0.4">
      <c r="A112" s="70" t="s">
        <v>91</v>
      </c>
      <c r="B112" s="71">
        <v>1</v>
      </c>
      <c r="C112" s="162">
        <v>3</v>
      </c>
      <c r="D112" s="163">
        <v>35742864</v>
      </c>
      <c r="E112" s="166">
        <f t="shared" si="1"/>
        <v>179.00184630906756</v>
      </c>
      <c r="F112" s="167">
        <f t="shared" si="2"/>
        <v>0.59667282103022523</v>
      </c>
    </row>
    <row r="113" spans="1:10" ht="26.25" customHeight="1" x14ac:dyDescent="0.4">
      <c r="A113" s="70" t="s">
        <v>92</v>
      </c>
      <c r="B113" s="71">
        <v>1</v>
      </c>
      <c r="C113" s="162">
        <v>4</v>
      </c>
      <c r="D113" s="163">
        <v>35788509</v>
      </c>
      <c r="E113" s="166">
        <f t="shared" si="1"/>
        <v>179.23043849112599</v>
      </c>
      <c r="F113" s="167">
        <f t="shared" si="2"/>
        <v>0.59743479497041996</v>
      </c>
    </row>
    <row r="114" spans="1:10" ht="26.25" customHeight="1" x14ac:dyDescent="0.4">
      <c r="A114" s="70" t="s">
        <v>93</v>
      </c>
      <c r="B114" s="71">
        <v>1</v>
      </c>
      <c r="C114" s="162">
        <v>5</v>
      </c>
      <c r="D114" s="163">
        <v>35477737</v>
      </c>
      <c r="E114" s="166">
        <f t="shared" si="1"/>
        <v>177.67407854802903</v>
      </c>
      <c r="F114" s="167">
        <f t="shared" si="2"/>
        <v>0.59224692849343008</v>
      </c>
    </row>
    <row r="115" spans="1:10" ht="26.25" customHeight="1" x14ac:dyDescent="0.4">
      <c r="A115" s="70" t="s">
        <v>95</v>
      </c>
      <c r="B115" s="71">
        <v>1</v>
      </c>
      <c r="C115" s="168">
        <v>6</v>
      </c>
      <c r="D115" s="169">
        <v>35820337</v>
      </c>
      <c r="E115" s="170">
        <f t="shared" si="1"/>
        <v>179.38983452509586</v>
      </c>
      <c r="F115" s="171">
        <f t="shared" si="2"/>
        <v>0.59796611508365283</v>
      </c>
    </row>
    <row r="116" spans="1:10" ht="26.25" customHeight="1" x14ac:dyDescent="0.4">
      <c r="A116" s="70" t="s">
        <v>96</v>
      </c>
      <c r="B116" s="71">
        <v>1</v>
      </c>
      <c r="C116" s="162"/>
      <c r="D116" s="98"/>
      <c r="E116" s="49"/>
      <c r="F116" s="185"/>
    </row>
    <row r="117" spans="1:10" ht="26.25" customHeight="1" x14ac:dyDescent="0.4">
      <c r="A117" s="70" t="s">
        <v>97</v>
      </c>
      <c r="B117" s="71">
        <v>1</v>
      </c>
      <c r="C117" s="162"/>
      <c r="D117" s="173"/>
      <c r="E117" s="174" t="s">
        <v>65</v>
      </c>
      <c r="F117" s="175">
        <f>AVERAGE(F110:F115)</f>
        <v>0.59560581267623125</v>
      </c>
    </row>
    <row r="118" spans="1:10" ht="19.5" customHeight="1" thickBot="1" x14ac:dyDescent="0.35">
      <c r="A118" s="70" t="s">
        <v>98</v>
      </c>
      <c r="B118" s="135">
        <f>(B117/B116)*(B115/B114)*(B113/B112)*(B111/B110)*B109</f>
        <v>1000</v>
      </c>
      <c r="C118" s="176"/>
      <c r="D118" s="177"/>
      <c r="E118" s="56" t="s">
        <v>78</v>
      </c>
      <c r="F118" s="178">
        <f>STDEV(F110:F115)/F117</f>
        <v>4.2869532798540761E-3</v>
      </c>
      <c r="I118" s="49"/>
    </row>
    <row r="119" spans="1:10" ht="19.5" customHeight="1" thickBot="1" x14ac:dyDescent="0.35">
      <c r="A119" s="329" t="s">
        <v>72</v>
      </c>
      <c r="B119" s="339"/>
      <c r="C119" s="179"/>
      <c r="D119" s="180"/>
      <c r="E119" s="181" t="s">
        <v>15</v>
      </c>
      <c r="F119" s="350">
        <f>COUNT(F110:F115)</f>
        <v>6</v>
      </c>
      <c r="I119" s="49"/>
      <c r="J119" s="156"/>
    </row>
    <row r="120" spans="1:10" ht="19.5" customHeight="1" thickBot="1" x14ac:dyDescent="0.35">
      <c r="A120" s="331"/>
      <c r="B120" s="340"/>
      <c r="C120" s="49"/>
      <c r="D120" s="49"/>
      <c r="E120" s="49"/>
      <c r="F120" s="98"/>
      <c r="G120" s="49"/>
      <c r="H120" s="49"/>
      <c r="I120" s="49"/>
    </row>
    <row r="121" spans="1:10" ht="18.75" x14ac:dyDescent="0.3">
      <c r="A121" s="66"/>
      <c r="B121" s="66"/>
      <c r="C121" s="49"/>
      <c r="D121" s="49"/>
      <c r="E121" s="49"/>
      <c r="F121" s="98"/>
      <c r="G121" s="49"/>
      <c r="H121" s="49"/>
      <c r="I121" s="49"/>
    </row>
    <row r="122" spans="1:10" ht="18.75" x14ac:dyDescent="0.3">
      <c r="A122" s="53" t="s">
        <v>101</v>
      </c>
      <c r="B122" s="56" t="s">
        <v>102</v>
      </c>
      <c r="C122" s="346" t="str">
        <f>B20</f>
        <v>ATAZANAVIR</v>
      </c>
      <c r="D122" s="346"/>
      <c r="E122" s="49" t="s">
        <v>110</v>
      </c>
      <c r="F122" s="49"/>
      <c r="G122" s="143">
        <f>F117</f>
        <v>0.59560581267623125</v>
      </c>
      <c r="H122" s="49"/>
      <c r="I122" s="49"/>
    </row>
    <row r="123" spans="1:10" ht="18.75" x14ac:dyDescent="0.3">
      <c r="A123" s="66"/>
      <c r="B123" s="66"/>
      <c r="C123" s="49"/>
      <c r="D123" s="49"/>
      <c r="E123" s="49"/>
      <c r="F123" s="98"/>
      <c r="G123" s="49"/>
      <c r="H123" s="49"/>
      <c r="I123" s="49"/>
    </row>
    <row r="124" spans="1:10" ht="26.25" customHeight="1" x14ac:dyDescent="0.4">
      <c r="A124" s="52" t="s">
        <v>104</v>
      </c>
      <c r="B124" s="52" t="s">
        <v>105</v>
      </c>
      <c r="D124" s="144">
        <v>90</v>
      </c>
    </row>
    <row r="125" spans="1:10" ht="19.5" customHeight="1" thickBot="1" x14ac:dyDescent="0.35">
      <c r="A125" s="45"/>
      <c r="B125" s="45"/>
      <c r="C125" s="45"/>
      <c r="D125" s="45"/>
      <c r="E125" s="45"/>
    </row>
    <row r="126" spans="1:10" ht="26.25" customHeight="1" x14ac:dyDescent="0.4">
      <c r="A126" s="68" t="s">
        <v>106</v>
      </c>
      <c r="B126" s="69">
        <v>1000</v>
      </c>
      <c r="C126" s="145" t="s">
        <v>107</v>
      </c>
      <c r="D126" s="159" t="s">
        <v>58</v>
      </c>
      <c r="E126" s="160" t="s">
        <v>108</v>
      </c>
      <c r="F126" s="161" t="s">
        <v>109</v>
      </c>
    </row>
    <row r="127" spans="1:10" ht="26.25" customHeight="1" x14ac:dyDescent="0.4">
      <c r="A127" s="70" t="s">
        <v>88</v>
      </c>
      <c r="B127" s="71">
        <v>1</v>
      </c>
      <c r="C127" s="162">
        <v>1</v>
      </c>
      <c r="D127" s="163">
        <v>52106720</v>
      </c>
      <c r="E127" s="182">
        <f t="shared" ref="E127:E132" si="3">IF(ISBLANK(D127),"-",D127/$D$105*$D$102*$B$135)</f>
        <v>260.95276207048255</v>
      </c>
      <c r="F127" s="183">
        <f t="shared" ref="F127:F132" si="4">IF(ISBLANK(D127), "-", E127/$B$56)</f>
        <v>0.86984254023494179</v>
      </c>
    </row>
    <row r="128" spans="1:10" ht="26.25" customHeight="1" x14ac:dyDescent="0.4">
      <c r="A128" s="70" t="s">
        <v>90</v>
      </c>
      <c r="B128" s="71">
        <v>1</v>
      </c>
      <c r="C128" s="162">
        <v>2</v>
      </c>
      <c r="D128" s="163">
        <v>51700288</v>
      </c>
      <c r="E128" s="184">
        <f t="shared" si="3"/>
        <v>258.91733260967925</v>
      </c>
      <c r="F128" s="185">
        <f t="shared" si="4"/>
        <v>0.86305777536559747</v>
      </c>
    </row>
    <row r="129" spans="1:10" ht="26.25" customHeight="1" x14ac:dyDescent="0.4">
      <c r="A129" s="70" t="s">
        <v>91</v>
      </c>
      <c r="B129" s="71">
        <v>1</v>
      </c>
      <c r="C129" s="162">
        <v>3</v>
      </c>
      <c r="D129" s="163">
        <v>52337872</v>
      </c>
      <c r="E129" s="184">
        <f t="shared" si="3"/>
        <v>262.11038152643977</v>
      </c>
      <c r="F129" s="185">
        <f t="shared" si="4"/>
        <v>0.87370127175479917</v>
      </c>
    </row>
    <row r="130" spans="1:10" ht="26.25" customHeight="1" x14ac:dyDescent="0.4">
      <c r="A130" s="70" t="s">
        <v>92</v>
      </c>
      <c r="B130" s="71">
        <v>1</v>
      </c>
      <c r="C130" s="162">
        <v>4</v>
      </c>
      <c r="D130" s="163">
        <v>51600941</v>
      </c>
      <c r="E130" s="184">
        <f t="shared" si="3"/>
        <v>258.41979843263994</v>
      </c>
      <c r="F130" s="185">
        <f t="shared" si="4"/>
        <v>0.86139932810879982</v>
      </c>
    </row>
    <row r="131" spans="1:10" ht="26.25" customHeight="1" x14ac:dyDescent="0.4">
      <c r="A131" s="70" t="s">
        <v>93</v>
      </c>
      <c r="B131" s="71">
        <v>1</v>
      </c>
      <c r="C131" s="162">
        <v>5</v>
      </c>
      <c r="D131" s="163">
        <v>52154753</v>
      </c>
      <c r="E131" s="184">
        <f t="shared" si="3"/>
        <v>261.1933134623286</v>
      </c>
      <c r="F131" s="185">
        <f t="shared" si="4"/>
        <v>0.87064437820776197</v>
      </c>
    </row>
    <row r="132" spans="1:10" ht="26.25" customHeight="1" x14ac:dyDescent="0.4">
      <c r="A132" s="70" t="s">
        <v>95</v>
      </c>
      <c r="B132" s="71">
        <v>1</v>
      </c>
      <c r="C132" s="168">
        <v>6</v>
      </c>
      <c r="D132" s="169">
        <v>51937298</v>
      </c>
      <c r="E132" s="186">
        <f t="shared" si="3"/>
        <v>260.10428918914391</v>
      </c>
      <c r="F132" s="187">
        <f t="shared" si="4"/>
        <v>0.86701429729714641</v>
      </c>
    </row>
    <row r="133" spans="1:10" ht="26.25" customHeight="1" x14ac:dyDescent="0.4">
      <c r="A133" s="70" t="s">
        <v>96</v>
      </c>
      <c r="B133" s="71">
        <v>1</v>
      </c>
      <c r="C133" s="162"/>
      <c r="D133" s="98"/>
      <c r="E133" s="49"/>
      <c r="F133" s="185"/>
    </row>
    <row r="134" spans="1:10" ht="26.25" customHeight="1" x14ac:dyDescent="0.4">
      <c r="A134" s="70" t="s">
        <v>97</v>
      </c>
      <c r="B134" s="71">
        <v>1</v>
      </c>
      <c r="C134" s="162"/>
      <c r="D134" s="173"/>
      <c r="E134" s="174" t="s">
        <v>65</v>
      </c>
      <c r="F134" s="188">
        <f>AVERAGE(F127:F132)</f>
        <v>0.86760993182817447</v>
      </c>
    </row>
    <row r="135" spans="1:10" ht="27" customHeight="1" thickBot="1" x14ac:dyDescent="0.45">
      <c r="A135" s="70" t="s">
        <v>98</v>
      </c>
      <c r="B135" s="71">
        <f>(B134/B133)*(B132/B131)*(B130/B129)*(B128/B127)*B126</f>
        <v>1000</v>
      </c>
      <c r="C135" s="176"/>
      <c r="D135" s="177"/>
      <c r="E135" s="56" t="s">
        <v>78</v>
      </c>
      <c r="F135" s="189">
        <f>STDEV(F127:F132)/F134</f>
        <v>5.4293145740043607E-3</v>
      </c>
      <c r="I135" s="49"/>
    </row>
    <row r="136" spans="1:10" ht="27" customHeight="1" thickBot="1" x14ac:dyDescent="0.45">
      <c r="A136" s="329" t="s">
        <v>72</v>
      </c>
      <c r="B136" s="339"/>
      <c r="C136" s="179"/>
      <c r="D136" s="180"/>
      <c r="E136" s="181" t="s">
        <v>15</v>
      </c>
      <c r="F136" s="354">
        <f>COUNT(F127:F132)</f>
        <v>6</v>
      </c>
      <c r="I136" s="49"/>
      <c r="J136" s="156"/>
    </row>
    <row r="137" spans="1:10" ht="19.5" customHeight="1" thickBot="1" x14ac:dyDescent="0.35">
      <c r="A137" s="331"/>
      <c r="B137" s="340"/>
      <c r="C137" s="49"/>
      <c r="D137" s="49"/>
      <c r="E137" s="49"/>
      <c r="F137" s="98"/>
      <c r="G137" s="49"/>
      <c r="H137" s="49"/>
      <c r="I137" s="49"/>
    </row>
    <row r="138" spans="1:10" ht="18.75" x14ac:dyDescent="0.3">
      <c r="A138" s="66"/>
      <c r="B138" s="66"/>
      <c r="C138" s="49"/>
      <c r="D138" s="49"/>
      <c r="E138" s="49"/>
      <c r="F138" s="98"/>
      <c r="G138" s="49"/>
      <c r="H138" s="49"/>
      <c r="I138" s="49"/>
    </row>
    <row r="139" spans="1:10" ht="26.25" customHeight="1" x14ac:dyDescent="0.4">
      <c r="A139" s="53" t="s">
        <v>101</v>
      </c>
      <c r="B139" s="56" t="s">
        <v>102</v>
      </c>
      <c r="C139" s="346" t="str">
        <f>B20</f>
        <v>ATAZANAVIR</v>
      </c>
      <c r="D139" s="346"/>
      <c r="E139" s="49" t="s">
        <v>110</v>
      </c>
      <c r="F139" s="49"/>
      <c r="G139" s="191">
        <f>F134</f>
        <v>0.86760993182817447</v>
      </c>
      <c r="H139" s="49"/>
      <c r="I139" s="49"/>
    </row>
    <row r="140" spans="1:10" ht="18.75" x14ac:dyDescent="0.3">
      <c r="A140" s="53"/>
      <c r="B140" s="56"/>
      <c r="C140" s="59"/>
      <c r="D140" s="59"/>
      <c r="E140" s="49"/>
      <c r="F140" s="49"/>
      <c r="G140" s="143"/>
      <c r="H140" s="49"/>
      <c r="I140" s="49"/>
    </row>
    <row r="141" spans="1:10" ht="26.25" customHeight="1" x14ac:dyDescent="0.4">
      <c r="A141" s="52" t="s">
        <v>104</v>
      </c>
      <c r="B141" s="52" t="s">
        <v>105</v>
      </c>
      <c r="D141" s="144"/>
      <c r="H141" s="49"/>
      <c r="I141" s="49"/>
    </row>
    <row r="142" spans="1:10" ht="19.5" customHeight="1" thickBot="1" x14ac:dyDescent="0.35">
      <c r="A142" s="45"/>
      <c r="B142" s="45"/>
      <c r="C142" s="45"/>
      <c r="D142" s="45"/>
      <c r="E142" s="45"/>
      <c r="H142" s="49"/>
      <c r="I142" s="49"/>
    </row>
    <row r="143" spans="1:10" ht="26.25" customHeight="1" x14ac:dyDescent="0.4">
      <c r="A143" s="68" t="s">
        <v>106</v>
      </c>
      <c r="B143" s="69"/>
      <c r="C143" s="145" t="s">
        <v>107</v>
      </c>
      <c r="D143" s="159" t="s">
        <v>58</v>
      </c>
      <c r="E143" s="160" t="s">
        <v>108</v>
      </c>
      <c r="F143" s="161" t="s">
        <v>109</v>
      </c>
      <c r="H143" s="49"/>
      <c r="I143" s="49"/>
    </row>
    <row r="144" spans="1:10" ht="26.25" customHeight="1" x14ac:dyDescent="0.4">
      <c r="A144" s="70" t="s">
        <v>88</v>
      </c>
      <c r="B144" s="71">
        <v>1</v>
      </c>
      <c r="C144" s="162">
        <v>1</v>
      </c>
      <c r="D144" s="163"/>
      <c r="E144" s="182" t="str">
        <f t="shared" ref="E144:E149" si="5">IF(ISBLANK(D144),"-",D144/$D$105*$D$102*$B$152)</f>
        <v>-</v>
      </c>
      <c r="F144" s="183" t="str">
        <f t="shared" ref="F144:F149" si="6">IF(ISBLANK(D144), "-", E144/$B$56)</f>
        <v>-</v>
      </c>
      <c r="H144" s="49"/>
      <c r="I144" s="49"/>
    </row>
    <row r="145" spans="1:9" ht="26.25" customHeight="1" x14ac:dyDescent="0.4">
      <c r="A145" s="70" t="s">
        <v>90</v>
      </c>
      <c r="B145" s="71">
        <v>1</v>
      </c>
      <c r="C145" s="162">
        <v>2</v>
      </c>
      <c r="D145" s="163"/>
      <c r="E145" s="184" t="str">
        <f t="shared" si="5"/>
        <v>-</v>
      </c>
      <c r="F145" s="185" t="str">
        <f t="shared" si="6"/>
        <v>-</v>
      </c>
      <c r="H145" s="49"/>
      <c r="I145" s="49"/>
    </row>
    <row r="146" spans="1:9" ht="26.25" customHeight="1" x14ac:dyDescent="0.4">
      <c r="A146" s="70" t="s">
        <v>91</v>
      </c>
      <c r="B146" s="71">
        <v>1</v>
      </c>
      <c r="C146" s="162">
        <v>3</v>
      </c>
      <c r="D146" s="163"/>
      <c r="E146" s="184" t="str">
        <f t="shared" si="5"/>
        <v>-</v>
      </c>
      <c r="F146" s="185" t="str">
        <f t="shared" si="6"/>
        <v>-</v>
      </c>
      <c r="H146" s="49"/>
      <c r="I146" s="49"/>
    </row>
    <row r="147" spans="1:9" ht="26.25" customHeight="1" x14ac:dyDescent="0.4">
      <c r="A147" s="70" t="s">
        <v>92</v>
      </c>
      <c r="B147" s="71">
        <v>1</v>
      </c>
      <c r="C147" s="162">
        <v>4</v>
      </c>
      <c r="D147" s="163"/>
      <c r="E147" s="184" t="str">
        <f t="shared" si="5"/>
        <v>-</v>
      </c>
      <c r="F147" s="185" t="str">
        <f t="shared" si="6"/>
        <v>-</v>
      </c>
      <c r="H147" s="49"/>
      <c r="I147" s="49"/>
    </row>
    <row r="148" spans="1:9" ht="26.25" customHeight="1" x14ac:dyDescent="0.4">
      <c r="A148" s="70" t="s">
        <v>93</v>
      </c>
      <c r="B148" s="71">
        <v>1</v>
      </c>
      <c r="C148" s="162">
        <v>5</v>
      </c>
      <c r="D148" s="163"/>
      <c r="E148" s="184" t="str">
        <f t="shared" si="5"/>
        <v>-</v>
      </c>
      <c r="F148" s="185" t="str">
        <f t="shared" si="6"/>
        <v>-</v>
      </c>
      <c r="H148" s="49"/>
      <c r="I148" s="49"/>
    </row>
    <row r="149" spans="1:9" ht="26.25" customHeight="1" x14ac:dyDescent="0.4">
      <c r="A149" s="70" t="s">
        <v>95</v>
      </c>
      <c r="B149" s="71">
        <v>1</v>
      </c>
      <c r="C149" s="168">
        <v>6</v>
      </c>
      <c r="D149" s="169"/>
      <c r="E149" s="186" t="str">
        <f t="shared" si="5"/>
        <v>-</v>
      </c>
      <c r="F149" s="187" t="str">
        <f t="shared" si="6"/>
        <v>-</v>
      </c>
      <c r="H149" s="49"/>
      <c r="I149" s="49"/>
    </row>
    <row r="150" spans="1:9" ht="26.25" customHeight="1" x14ac:dyDescent="0.4">
      <c r="A150" s="70" t="s">
        <v>96</v>
      </c>
      <c r="B150" s="71">
        <v>1</v>
      </c>
      <c r="C150" s="162"/>
      <c r="D150" s="98"/>
      <c r="E150" s="49"/>
      <c r="F150" s="172"/>
      <c r="H150" s="49"/>
      <c r="I150" s="49"/>
    </row>
    <row r="151" spans="1:9" ht="26.25" customHeight="1" x14ac:dyDescent="0.4">
      <c r="A151" s="70" t="s">
        <v>97</v>
      </c>
      <c r="B151" s="71">
        <v>1</v>
      </c>
      <c r="C151" s="162"/>
      <c r="D151" s="173"/>
      <c r="E151" s="174" t="s">
        <v>65</v>
      </c>
      <c r="F151" s="188" t="e">
        <f>AVERAGE(F144:F149)</f>
        <v>#DIV/0!</v>
      </c>
      <c r="H151" s="49"/>
      <c r="I151" s="49"/>
    </row>
    <row r="152" spans="1:9" ht="27" customHeight="1" thickBot="1" x14ac:dyDescent="0.45">
      <c r="A152" s="70" t="s">
        <v>98</v>
      </c>
      <c r="B152" s="71">
        <f>(B151/B150)*(B149/B148)*(B147/B146)*(B145/B144)*B143</f>
        <v>0</v>
      </c>
      <c r="C152" s="176"/>
      <c r="D152" s="177"/>
      <c r="E152" s="56" t="s">
        <v>78</v>
      </c>
      <c r="F152" s="189" t="e">
        <f>STDEV(F144:F149)/F151</f>
        <v>#DIV/0!</v>
      </c>
      <c r="H152" s="49"/>
      <c r="I152" s="49"/>
    </row>
    <row r="153" spans="1:9" ht="27" customHeight="1" thickBot="1" x14ac:dyDescent="0.45">
      <c r="A153" s="329" t="s">
        <v>72</v>
      </c>
      <c r="B153" s="339"/>
      <c r="C153" s="179"/>
      <c r="D153" s="180"/>
      <c r="E153" s="181" t="s">
        <v>15</v>
      </c>
      <c r="F153" s="190">
        <f>COUNT(F144:F149)</f>
        <v>0</v>
      </c>
      <c r="H153" s="49"/>
      <c r="I153" s="49"/>
    </row>
    <row r="154" spans="1:9" ht="19.5" customHeight="1" thickBot="1" x14ac:dyDescent="0.35">
      <c r="A154" s="331"/>
      <c r="B154" s="340"/>
      <c r="C154" s="49"/>
      <c r="D154" s="49"/>
      <c r="E154" s="49"/>
      <c r="F154" s="98"/>
      <c r="G154" s="49"/>
      <c r="H154" s="49"/>
      <c r="I154" s="49"/>
    </row>
    <row r="155" spans="1:9" ht="18.75" x14ac:dyDescent="0.3">
      <c r="A155" s="66"/>
      <c r="B155" s="66"/>
      <c r="C155" s="49"/>
      <c r="D155" s="49"/>
      <c r="E155" s="49"/>
      <c r="F155" s="98"/>
      <c r="G155" s="49"/>
      <c r="H155" s="49"/>
      <c r="I155" s="49"/>
    </row>
    <row r="156" spans="1:9" ht="26.25" customHeight="1" x14ac:dyDescent="0.4">
      <c r="A156" s="53" t="s">
        <v>101</v>
      </c>
      <c r="B156" s="56" t="s">
        <v>102</v>
      </c>
      <c r="C156" s="346" t="str">
        <f>B20</f>
        <v>ATAZANAVIR</v>
      </c>
      <c r="D156" s="346"/>
      <c r="E156" s="49" t="s">
        <v>110</v>
      </c>
      <c r="F156" s="49"/>
      <c r="G156" s="191" t="e">
        <f>F151</f>
        <v>#DIV/0!</v>
      </c>
      <c r="H156" s="49"/>
      <c r="I156" s="49"/>
    </row>
    <row r="157" spans="1:9" ht="18.75" x14ac:dyDescent="0.3">
      <c r="A157" s="53"/>
      <c r="B157" s="56"/>
      <c r="C157" s="59"/>
      <c r="D157" s="59"/>
      <c r="E157" s="49"/>
      <c r="F157" s="49"/>
      <c r="G157" s="143"/>
      <c r="H157" s="49"/>
      <c r="I157" s="49"/>
    </row>
    <row r="158" spans="1:9" ht="26.25" customHeight="1" x14ac:dyDescent="0.4">
      <c r="A158" s="52" t="s">
        <v>104</v>
      </c>
      <c r="B158" s="52" t="s">
        <v>105</v>
      </c>
      <c r="D158" s="144"/>
      <c r="H158" s="49"/>
      <c r="I158" s="49"/>
    </row>
    <row r="159" spans="1:9" ht="19.5" customHeight="1" thickBot="1" x14ac:dyDescent="0.35">
      <c r="A159" s="45"/>
      <c r="B159" s="45"/>
      <c r="C159" s="45"/>
      <c r="D159" s="45"/>
      <c r="E159" s="45"/>
      <c r="H159" s="49"/>
      <c r="I159" s="49"/>
    </row>
    <row r="160" spans="1:9" ht="26.25" customHeight="1" x14ac:dyDescent="0.4">
      <c r="A160" s="68" t="s">
        <v>106</v>
      </c>
      <c r="B160" s="69"/>
      <c r="C160" s="145" t="s">
        <v>107</v>
      </c>
      <c r="D160" s="159" t="s">
        <v>58</v>
      </c>
      <c r="E160" s="160" t="s">
        <v>108</v>
      </c>
      <c r="F160" s="161" t="s">
        <v>109</v>
      </c>
      <c r="H160" s="49"/>
      <c r="I160" s="49"/>
    </row>
    <row r="161" spans="1:9" ht="26.25" customHeight="1" x14ac:dyDescent="0.4">
      <c r="A161" s="70" t="s">
        <v>88</v>
      </c>
      <c r="B161" s="71"/>
      <c r="C161" s="162">
        <v>1</v>
      </c>
      <c r="D161" s="163"/>
      <c r="E161" s="182" t="str">
        <f t="shared" ref="E161:E166" si="7">IF(ISBLANK(D161),"-",D161/$D$105*$D$102*$B$169)</f>
        <v>-</v>
      </c>
      <c r="F161" s="183" t="str">
        <f t="shared" ref="F161:F166" si="8">IF(ISBLANK(D161), "-", E161/$B$56)</f>
        <v>-</v>
      </c>
      <c r="H161" s="49"/>
      <c r="I161" s="49"/>
    </row>
    <row r="162" spans="1:9" ht="26.25" customHeight="1" x14ac:dyDescent="0.4">
      <c r="A162" s="70" t="s">
        <v>90</v>
      </c>
      <c r="B162" s="71"/>
      <c r="C162" s="162">
        <v>2</v>
      </c>
      <c r="D162" s="163"/>
      <c r="E162" s="184" t="str">
        <f t="shared" si="7"/>
        <v>-</v>
      </c>
      <c r="F162" s="185" t="str">
        <f t="shared" si="8"/>
        <v>-</v>
      </c>
      <c r="H162" s="49"/>
      <c r="I162" s="49"/>
    </row>
    <row r="163" spans="1:9" ht="26.25" customHeight="1" x14ac:dyDescent="0.4">
      <c r="A163" s="70" t="s">
        <v>91</v>
      </c>
      <c r="B163" s="71"/>
      <c r="C163" s="162">
        <v>3</v>
      </c>
      <c r="D163" s="163"/>
      <c r="E163" s="184" t="str">
        <f t="shared" si="7"/>
        <v>-</v>
      </c>
      <c r="F163" s="185" t="str">
        <f t="shared" si="8"/>
        <v>-</v>
      </c>
      <c r="H163" s="49"/>
      <c r="I163" s="49"/>
    </row>
    <row r="164" spans="1:9" ht="26.25" customHeight="1" x14ac:dyDescent="0.4">
      <c r="A164" s="70" t="s">
        <v>92</v>
      </c>
      <c r="B164" s="71"/>
      <c r="C164" s="162">
        <v>4</v>
      </c>
      <c r="D164" s="163"/>
      <c r="E164" s="184" t="str">
        <f t="shared" si="7"/>
        <v>-</v>
      </c>
      <c r="F164" s="185" t="str">
        <f t="shared" si="8"/>
        <v>-</v>
      </c>
      <c r="H164" s="49"/>
      <c r="I164" s="49"/>
    </row>
    <row r="165" spans="1:9" ht="26.25" customHeight="1" x14ac:dyDescent="0.4">
      <c r="A165" s="70" t="s">
        <v>93</v>
      </c>
      <c r="B165" s="71"/>
      <c r="C165" s="162">
        <v>5</v>
      </c>
      <c r="D165" s="163"/>
      <c r="E165" s="184" t="str">
        <f t="shared" si="7"/>
        <v>-</v>
      </c>
      <c r="F165" s="185" t="str">
        <f t="shared" si="8"/>
        <v>-</v>
      </c>
      <c r="H165" s="49"/>
      <c r="I165" s="49"/>
    </row>
    <row r="166" spans="1:9" ht="26.25" customHeight="1" x14ac:dyDescent="0.4">
      <c r="A166" s="70" t="s">
        <v>95</v>
      </c>
      <c r="B166" s="71"/>
      <c r="C166" s="168">
        <v>6</v>
      </c>
      <c r="D166" s="169"/>
      <c r="E166" s="186" t="str">
        <f t="shared" si="7"/>
        <v>-</v>
      </c>
      <c r="F166" s="187" t="str">
        <f t="shared" si="8"/>
        <v>-</v>
      </c>
      <c r="H166" s="49"/>
      <c r="I166" s="49"/>
    </row>
    <row r="167" spans="1:9" ht="26.25" customHeight="1" x14ac:dyDescent="0.4">
      <c r="A167" s="70" t="s">
        <v>96</v>
      </c>
      <c r="B167" s="71"/>
      <c r="C167" s="162"/>
      <c r="D167" s="98"/>
      <c r="E167" s="49"/>
      <c r="F167" s="172"/>
      <c r="H167" s="49"/>
      <c r="I167" s="49"/>
    </row>
    <row r="168" spans="1:9" ht="26.25" customHeight="1" x14ac:dyDescent="0.4">
      <c r="A168" s="70" t="s">
        <v>97</v>
      </c>
      <c r="B168" s="71"/>
      <c r="C168" s="162"/>
      <c r="D168" s="173"/>
      <c r="E168" s="174" t="s">
        <v>65</v>
      </c>
      <c r="F168" s="188" t="e">
        <f>AVERAGE(F161:F166)</f>
        <v>#DIV/0!</v>
      </c>
      <c r="H168" s="49"/>
      <c r="I168" s="49"/>
    </row>
    <row r="169" spans="1:9" ht="27" customHeight="1" thickBot="1" x14ac:dyDescent="0.45">
      <c r="A169" s="70" t="s">
        <v>98</v>
      </c>
      <c r="B169" s="71"/>
      <c r="C169" s="176"/>
      <c r="D169" s="177"/>
      <c r="E169" s="56" t="s">
        <v>78</v>
      </c>
      <c r="F169" s="189" t="e">
        <f>STDEV(F161:F166)/F168</f>
        <v>#DIV/0!</v>
      </c>
      <c r="H169" s="49"/>
      <c r="I169" s="49"/>
    </row>
    <row r="170" spans="1:9" ht="27" customHeight="1" thickBot="1" x14ac:dyDescent="0.45">
      <c r="A170" s="329" t="s">
        <v>72</v>
      </c>
      <c r="B170" s="339"/>
      <c r="C170" s="179"/>
      <c r="D170" s="180"/>
      <c r="E170" s="181" t="s">
        <v>15</v>
      </c>
      <c r="F170" s="190">
        <f>COUNT(F161:F166)</f>
        <v>0</v>
      </c>
      <c r="H170" s="49"/>
      <c r="I170" s="49"/>
    </row>
    <row r="171" spans="1:9" ht="19.5" customHeight="1" thickBot="1" x14ac:dyDescent="0.35">
      <c r="A171" s="331"/>
      <c r="B171" s="340"/>
      <c r="C171" s="49"/>
      <c r="D171" s="49"/>
      <c r="E171" s="49"/>
      <c r="F171" s="98"/>
      <c r="G171" s="49"/>
      <c r="H171" s="49"/>
      <c r="I171" s="49"/>
    </row>
    <row r="172" spans="1:9" ht="18.75" x14ac:dyDescent="0.3">
      <c r="A172" s="66"/>
      <c r="B172" s="66"/>
      <c r="C172" s="49"/>
      <c r="D172" s="49"/>
      <c r="E172" s="49"/>
      <c r="F172" s="98"/>
      <c r="G172" s="49"/>
      <c r="H172" s="49"/>
      <c r="I172" s="49"/>
    </row>
    <row r="173" spans="1:9" ht="26.25" customHeight="1" x14ac:dyDescent="0.4">
      <c r="A173" s="53" t="s">
        <v>101</v>
      </c>
      <c r="B173" s="56" t="s">
        <v>102</v>
      </c>
      <c r="C173" s="346" t="str">
        <f>B20</f>
        <v>ATAZANAVIR</v>
      </c>
      <c r="D173" s="346"/>
      <c r="E173" s="49" t="s">
        <v>110</v>
      </c>
      <c r="F173" s="49"/>
      <c r="G173" s="191" t="e">
        <f>F168</f>
        <v>#DIV/0!</v>
      </c>
      <c r="H173" s="49"/>
      <c r="I173" s="49"/>
    </row>
    <row r="174" spans="1:9" ht="18.75" x14ac:dyDescent="0.3">
      <c r="A174" s="53"/>
      <c r="B174" s="56"/>
      <c r="C174" s="59"/>
      <c r="D174" s="59"/>
      <c r="E174" s="49"/>
      <c r="F174" s="49"/>
      <c r="G174" s="143"/>
      <c r="H174" s="49"/>
      <c r="I174" s="49"/>
    </row>
    <row r="175" spans="1:9" ht="19.5" customHeight="1" thickBot="1" x14ac:dyDescent="0.35">
      <c r="A175" s="192"/>
      <c r="B175" s="192"/>
      <c r="C175" s="193"/>
      <c r="D175" s="193"/>
      <c r="E175" s="193"/>
      <c r="F175" s="193"/>
      <c r="G175" s="193"/>
      <c r="H175" s="193"/>
    </row>
    <row r="176" spans="1:9" ht="18.75" x14ac:dyDescent="0.3">
      <c r="B176" s="347" t="s">
        <v>21</v>
      </c>
      <c r="C176" s="347"/>
      <c r="E176" s="147" t="s">
        <v>22</v>
      </c>
      <c r="F176" s="194"/>
      <c r="G176" s="347" t="s">
        <v>23</v>
      </c>
      <c r="H176" s="347"/>
    </row>
    <row r="177" spans="1:9" ht="83.1" customHeight="1" x14ac:dyDescent="0.3">
      <c r="A177" s="53" t="s">
        <v>24</v>
      </c>
      <c r="B177" s="195" t="s">
        <v>121</v>
      </c>
      <c r="C177" s="195"/>
      <c r="E177" s="196"/>
      <c r="F177" s="49"/>
      <c r="G177" s="196"/>
      <c r="H177" s="196"/>
    </row>
    <row r="178" spans="1:9" ht="83.1" customHeight="1" x14ac:dyDescent="0.3">
      <c r="A178" s="53" t="s">
        <v>25</v>
      </c>
      <c r="B178" s="197"/>
      <c r="C178" s="197"/>
      <c r="E178" s="198"/>
      <c r="F178" s="49"/>
      <c r="G178" s="199"/>
      <c r="H178" s="199"/>
    </row>
    <row r="179" spans="1:9" ht="18.75" x14ac:dyDescent="0.3">
      <c r="A179" s="98"/>
      <c r="B179" s="98"/>
      <c r="C179" s="98"/>
      <c r="D179" s="98"/>
      <c r="E179" s="98"/>
      <c r="F179" s="101"/>
      <c r="G179" s="98"/>
      <c r="H179" s="98"/>
      <c r="I179" s="49"/>
    </row>
    <row r="180" spans="1:9" ht="18.75" x14ac:dyDescent="0.3">
      <c r="A180" s="98"/>
      <c r="B180" s="98"/>
      <c r="C180" s="98"/>
      <c r="D180" s="98"/>
      <c r="E180" s="98"/>
      <c r="F180" s="101"/>
      <c r="G180" s="98"/>
      <c r="H180" s="98"/>
      <c r="I180" s="49"/>
    </row>
    <row r="181" spans="1:9" ht="18.75" x14ac:dyDescent="0.3">
      <c r="A181" s="98"/>
      <c r="B181" s="98"/>
      <c r="C181" s="98"/>
      <c r="D181" s="98"/>
      <c r="E181" s="98"/>
      <c r="F181" s="101"/>
      <c r="G181" s="98"/>
      <c r="H181" s="98"/>
      <c r="I181" s="49"/>
    </row>
    <row r="182" spans="1:9" ht="18.75" x14ac:dyDescent="0.3">
      <c r="A182" s="98"/>
      <c r="B182" s="98"/>
      <c r="C182" s="98"/>
      <c r="D182" s="98"/>
      <c r="E182" s="98"/>
      <c r="F182" s="101"/>
      <c r="G182" s="98"/>
      <c r="H182" s="98"/>
      <c r="I182" s="49"/>
    </row>
    <row r="183" spans="1:9" ht="18.75" x14ac:dyDescent="0.3">
      <c r="A183" s="98"/>
      <c r="B183" s="98"/>
      <c r="C183" s="98"/>
      <c r="D183" s="98"/>
      <c r="E183" s="98"/>
      <c r="F183" s="101"/>
      <c r="G183" s="98"/>
      <c r="H183" s="98"/>
      <c r="I183" s="49"/>
    </row>
    <row r="184" spans="1:9" ht="18.75" x14ac:dyDescent="0.3">
      <c r="A184" s="98"/>
      <c r="B184" s="98"/>
      <c r="C184" s="98"/>
      <c r="D184" s="98"/>
      <c r="E184" s="98"/>
      <c r="F184" s="101"/>
      <c r="G184" s="98"/>
      <c r="H184" s="98"/>
      <c r="I184" s="49"/>
    </row>
    <row r="185" spans="1:9" ht="18.75" x14ac:dyDescent="0.3">
      <c r="A185" s="98"/>
      <c r="B185" s="98"/>
      <c r="C185" s="98"/>
      <c r="D185" s="98"/>
      <c r="E185" s="98"/>
      <c r="F185" s="101"/>
      <c r="G185" s="98"/>
      <c r="H185" s="98"/>
      <c r="I185" s="49"/>
    </row>
    <row r="186" spans="1:9" ht="18.75" x14ac:dyDescent="0.3">
      <c r="A186" s="98"/>
      <c r="B186" s="98"/>
      <c r="C186" s="98"/>
      <c r="D186" s="98"/>
      <c r="E186" s="98"/>
      <c r="F186" s="101"/>
      <c r="G186" s="98"/>
      <c r="H186" s="98"/>
      <c r="I186" s="49"/>
    </row>
    <row r="187" spans="1:9" ht="18.75" x14ac:dyDescent="0.3">
      <c r="A187" s="98"/>
      <c r="B187" s="98"/>
      <c r="C187" s="98"/>
      <c r="D187" s="98"/>
      <c r="E187" s="98"/>
      <c r="F187" s="101"/>
      <c r="G187" s="98"/>
      <c r="H187" s="98"/>
      <c r="I187" s="49"/>
    </row>
    <row r="250" spans="1:1" x14ac:dyDescent="0.25">
      <c r="A250" s="2">
        <v>0</v>
      </c>
    </row>
  </sheetData>
  <sheetProtection password="F258" sheet="1" objects="1" scenarios="1" formatCells="0" formatColumns="0"/>
  <mergeCells count="33">
    <mergeCell ref="C173:D173"/>
    <mergeCell ref="B176:C176"/>
    <mergeCell ref="G176:H176"/>
    <mergeCell ref="C122:D122"/>
    <mergeCell ref="A136:B137"/>
    <mergeCell ref="C139:D139"/>
    <mergeCell ref="A153:B154"/>
    <mergeCell ref="C156:D156"/>
    <mergeCell ref="A170:B171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32:H32"/>
    <mergeCell ref="D36:E36"/>
    <mergeCell ref="F36:G36"/>
    <mergeCell ref="A46:B47"/>
    <mergeCell ref="C60:C63"/>
    <mergeCell ref="D60:D63"/>
    <mergeCell ref="C31:H31"/>
    <mergeCell ref="A1:H7"/>
    <mergeCell ref="A8:H14"/>
    <mergeCell ref="A16:H16"/>
    <mergeCell ref="B18:C18"/>
    <mergeCell ref="C29:G29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18" zoomScale="48" zoomScaleNormal="75" zoomScaleSheetLayoutView="48" workbookViewId="0">
      <selection activeCell="F127" sqref="F127:F13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  <col min="13" max="16384" width="9.140625" style="4"/>
  </cols>
  <sheetData>
    <row r="1" spans="1:8" x14ac:dyDescent="0.25">
      <c r="A1" s="317" t="s">
        <v>40</v>
      </c>
      <c r="B1" s="317"/>
      <c r="C1" s="317"/>
      <c r="D1" s="317"/>
      <c r="E1" s="317"/>
      <c r="F1" s="317"/>
      <c r="G1" s="317"/>
      <c r="H1" s="317"/>
    </row>
    <row r="2" spans="1:8" x14ac:dyDescent="0.25">
      <c r="A2" s="317"/>
      <c r="B2" s="317"/>
      <c r="C2" s="317"/>
      <c r="D2" s="317"/>
      <c r="E2" s="317"/>
      <c r="F2" s="317"/>
      <c r="G2" s="317"/>
      <c r="H2" s="317"/>
    </row>
    <row r="3" spans="1:8" x14ac:dyDescent="0.25">
      <c r="A3" s="317"/>
      <c r="B3" s="317"/>
      <c r="C3" s="317"/>
      <c r="D3" s="317"/>
      <c r="E3" s="317"/>
      <c r="F3" s="317"/>
      <c r="G3" s="317"/>
      <c r="H3" s="317"/>
    </row>
    <row r="4" spans="1:8" x14ac:dyDescent="0.25">
      <c r="A4" s="317"/>
      <c r="B4" s="317"/>
      <c r="C4" s="317"/>
      <c r="D4" s="317"/>
      <c r="E4" s="317"/>
      <c r="F4" s="317"/>
      <c r="G4" s="317"/>
      <c r="H4" s="317"/>
    </row>
    <row r="5" spans="1:8" x14ac:dyDescent="0.25">
      <c r="A5" s="317"/>
      <c r="B5" s="317"/>
      <c r="C5" s="317"/>
      <c r="D5" s="317"/>
      <c r="E5" s="317"/>
      <c r="F5" s="317"/>
      <c r="G5" s="317"/>
      <c r="H5" s="317"/>
    </row>
    <row r="6" spans="1:8" x14ac:dyDescent="0.25">
      <c r="A6" s="317"/>
      <c r="B6" s="317"/>
      <c r="C6" s="317"/>
      <c r="D6" s="317"/>
      <c r="E6" s="317"/>
      <c r="F6" s="317"/>
      <c r="G6" s="317"/>
      <c r="H6" s="317"/>
    </row>
    <row r="7" spans="1:8" x14ac:dyDescent="0.25">
      <c r="A7" s="317"/>
      <c r="B7" s="317"/>
      <c r="C7" s="317"/>
      <c r="D7" s="317"/>
      <c r="E7" s="317"/>
      <c r="F7" s="317"/>
      <c r="G7" s="317"/>
      <c r="H7" s="317"/>
    </row>
    <row r="8" spans="1:8" x14ac:dyDescent="0.25">
      <c r="A8" s="318" t="s">
        <v>41</v>
      </c>
      <c r="B8" s="318"/>
      <c r="C8" s="318"/>
      <c r="D8" s="318"/>
      <c r="E8" s="318"/>
      <c r="F8" s="318"/>
      <c r="G8" s="318"/>
      <c r="H8" s="318"/>
    </row>
    <row r="9" spans="1:8" x14ac:dyDescent="0.25">
      <c r="A9" s="318"/>
      <c r="B9" s="318"/>
      <c r="C9" s="318"/>
      <c r="D9" s="318"/>
      <c r="E9" s="318"/>
      <c r="F9" s="318"/>
      <c r="G9" s="318"/>
      <c r="H9" s="318"/>
    </row>
    <row r="10" spans="1:8" x14ac:dyDescent="0.25">
      <c r="A10" s="318"/>
      <c r="B10" s="318"/>
      <c r="C10" s="318"/>
      <c r="D10" s="318"/>
      <c r="E10" s="318"/>
      <c r="F10" s="318"/>
      <c r="G10" s="318"/>
      <c r="H10" s="318"/>
    </row>
    <row r="11" spans="1:8" x14ac:dyDescent="0.25">
      <c r="A11" s="318"/>
      <c r="B11" s="318"/>
      <c r="C11" s="318"/>
      <c r="D11" s="318"/>
      <c r="E11" s="318"/>
      <c r="F11" s="318"/>
      <c r="G11" s="318"/>
      <c r="H11" s="318"/>
    </row>
    <row r="12" spans="1:8" x14ac:dyDescent="0.25">
      <c r="A12" s="318"/>
      <c r="B12" s="318"/>
      <c r="C12" s="318"/>
      <c r="D12" s="318"/>
      <c r="E12" s="318"/>
      <c r="F12" s="318"/>
      <c r="G12" s="318"/>
      <c r="H12" s="318"/>
    </row>
    <row r="13" spans="1:8" x14ac:dyDescent="0.25">
      <c r="A13" s="318"/>
      <c r="B13" s="318"/>
      <c r="C13" s="318"/>
      <c r="D13" s="318"/>
      <c r="E13" s="318"/>
      <c r="F13" s="318"/>
      <c r="G13" s="318"/>
      <c r="H13" s="318"/>
    </row>
    <row r="14" spans="1:8" x14ac:dyDescent="0.25">
      <c r="A14" s="318"/>
      <c r="B14" s="318"/>
      <c r="C14" s="318"/>
      <c r="D14" s="318"/>
      <c r="E14" s="318"/>
      <c r="F14" s="318"/>
      <c r="G14" s="318"/>
      <c r="H14" s="318"/>
    </row>
    <row r="15" spans="1:8" ht="19.5" customHeight="1" thickBot="1" x14ac:dyDescent="0.3"/>
    <row r="16" spans="1:8" ht="19.5" customHeight="1" thickBot="1" x14ac:dyDescent="0.3">
      <c r="A16" s="319" t="s">
        <v>26</v>
      </c>
      <c r="B16" s="320"/>
      <c r="C16" s="320"/>
      <c r="D16" s="320"/>
      <c r="E16" s="320"/>
      <c r="F16" s="320"/>
      <c r="G16" s="320"/>
      <c r="H16" s="321"/>
    </row>
    <row r="17" spans="1:14" ht="18.75" x14ac:dyDescent="0.3">
      <c r="A17" s="45" t="s">
        <v>42</v>
      </c>
      <c r="B17" s="45"/>
    </row>
    <row r="18" spans="1:14" ht="18.75" x14ac:dyDescent="0.3">
      <c r="A18" s="46" t="s">
        <v>28</v>
      </c>
      <c r="B18" s="322" t="s">
        <v>112</v>
      </c>
      <c r="C18" s="322"/>
      <c r="D18" s="47"/>
      <c r="E18" s="47"/>
    </row>
    <row r="19" spans="1:14" ht="26.25" x14ac:dyDescent="0.4">
      <c r="A19" s="46" t="s">
        <v>29</v>
      </c>
      <c r="B19" s="255" t="s">
        <v>124</v>
      </c>
      <c r="C19" s="49">
        <v>24</v>
      </c>
    </row>
    <row r="20" spans="1:14" ht="18.75" x14ac:dyDescent="0.3">
      <c r="A20" s="46" t="s">
        <v>30</v>
      </c>
      <c r="B20" s="48" t="s">
        <v>125</v>
      </c>
    </row>
    <row r="21" spans="1:14" ht="18.75" x14ac:dyDescent="0.3">
      <c r="A21" s="46" t="s">
        <v>31</v>
      </c>
      <c r="B21" s="50" t="s">
        <v>115</v>
      </c>
      <c r="C21" s="50"/>
      <c r="D21" s="50"/>
      <c r="E21" s="50"/>
      <c r="F21" s="50"/>
      <c r="G21" s="50"/>
      <c r="H21" s="50"/>
      <c r="I21" s="50"/>
    </row>
    <row r="22" spans="1:14" ht="26.25" x14ac:dyDescent="0.4">
      <c r="A22" s="46" t="s">
        <v>32</v>
      </c>
      <c r="B22" s="256">
        <v>42783</v>
      </c>
    </row>
    <row r="23" spans="1:14" ht="26.25" x14ac:dyDescent="0.4">
      <c r="A23" s="46" t="s">
        <v>33</v>
      </c>
      <c r="B23" s="256">
        <v>42786</v>
      </c>
    </row>
    <row r="24" spans="1:14" ht="18.75" x14ac:dyDescent="0.3">
      <c r="A24" s="46"/>
      <c r="B24" s="51"/>
    </row>
    <row r="25" spans="1:14" ht="18.75" x14ac:dyDescent="0.3">
      <c r="A25" s="52" t="s">
        <v>1</v>
      </c>
      <c r="B25" s="51"/>
    </row>
    <row r="26" spans="1:14" ht="26.25" customHeight="1" x14ac:dyDescent="0.4">
      <c r="A26" s="53" t="s">
        <v>4</v>
      </c>
      <c r="B26" s="54" t="s">
        <v>117</v>
      </c>
      <c r="C26" s="55"/>
    </row>
    <row r="27" spans="1:14" ht="26.25" customHeight="1" x14ac:dyDescent="0.4">
      <c r="A27" s="56" t="s">
        <v>43</v>
      </c>
      <c r="B27" s="57" t="s">
        <v>118</v>
      </c>
    </row>
    <row r="28" spans="1:14" ht="27" customHeight="1" thickBot="1" x14ac:dyDescent="0.45">
      <c r="A28" s="56" t="s">
        <v>5</v>
      </c>
      <c r="B28" s="57">
        <v>99.4</v>
      </c>
    </row>
    <row r="29" spans="1:14" s="10" customFormat="1" ht="27" customHeight="1" thickBot="1" x14ac:dyDescent="0.45">
      <c r="A29" s="56" t="s">
        <v>44</v>
      </c>
      <c r="B29" s="57">
        <v>0</v>
      </c>
      <c r="C29" s="323" t="s">
        <v>45</v>
      </c>
      <c r="D29" s="324"/>
      <c r="E29" s="324"/>
      <c r="F29" s="324"/>
      <c r="G29" s="325"/>
      <c r="I29" s="58"/>
      <c r="J29" s="58"/>
      <c r="K29" s="58"/>
      <c r="L29" s="58"/>
    </row>
    <row r="30" spans="1:14" s="10" customFormat="1" ht="19.5" customHeight="1" thickBot="1" x14ac:dyDescent="0.35">
      <c r="A30" s="56" t="s">
        <v>46</v>
      </c>
      <c r="B30" s="59">
        <f>B28-B29</f>
        <v>99.4</v>
      </c>
      <c r="C30" s="60"/>
      <c r="D30" s="60"/>
      <c r="E30" s="60"/>
      <c r="F30" s="60"/>
      <c r="G30" s="61"/>
      <c r="I30" s="58"/>
      <c r="J30" s="58"/>
      <c r="K30" s="58"/>
      <c r="L30" s="58"/>
    </row>
    <row r="31" spans="1:14" s="10" customFormat="1" ht="27" customHeight="1" thickBot="1" x14ac:dyDescent="0.45">
      <c r="A31" s="56" t="s">
        <v>47</v>
      </c>
      <c r="B31" s="62">
        <v>1</v>
      </c>
      <c r="C31" s="314" t="s">
        <v>48</v>
      </c>
      <c r="D31" s="315"/>
      <c r="E31" s="315"/>
      <c r="F31" s="315"/>
      <c r="G31" s="315"/>
      <c r="H31" s="316"/>
      <c r="I31" s="58"/>
      <c r="J31" s="58"/>
      <c r="K31" s="58"/>
      <c r="L31" s="58"/>
    </row>
    <row r="32" spans="1:14" s="10" customFormat="1" ht="27" customHeight="1" thickBot="1" x14ac:dyDescent="0.45">
      <c r="A32" s="56" t="s">
        <v>49</v>
      </c>
      <c r="B32" s="62">
        <v>1</v>
      </c>
      <c r="C32" s="314" t="s">
        <v>50</v>
      </c>
      <c r="D32" s="315"/>
      <c r="E32" s="315"/>
      <c r="F32" s="315"/>
      <c r="G32" s="315"/>
      <c r="H32" s="316"/>
      <c r="I32" s="58"/>
      <c r="J32" s="58"/>
      <c r="K32" s="58"/>
      <c r="L32" s="63"/>
      <c r="M32" s="63"/>
      <c r="N32" s="64"/>
    </row>
    <row r="33" spans="1:14" s="10" customFormat="1" ht="17.25" customHeight="1" x14ac:dyDescent="0.3">
      <c r="A33" s="56"/>
      <c r="B33" s="65"/>
      <c r="C33" s="66"/>
      <c r="D33" s="66"/>
      <c r="E33" s="66"/>
      <c r="F33" s="66"/>
      <c r="G33" s="66"/>
      <c r="H33" s="66"/>
      <c r="I33" s="58"/>
      <c r="J33" s="58"/>
      <c r="K33" s="58"/>
      <c r="L33" s="63"/>
      <c r="M33" s="63"/>
      <c r="N33" s="64"/>
    </row>
    <row r="34" spans="1:14" s="10" customFormat="1" ht="18.75" x14ac:dyDescent="0.3">
      <c r="A34" s="56" t="s">
        <v>51</v>
      </c>
      <c r="B34" s="67">
        <f>B31/B32</f>
        <v>1</v>
      </c>
      <c r="C34" s="49" t="s">
        <v>52</v>
      </c>
      <c r="D34" s="49"/>
      <c r="E34" s="49"/>
      <c r="F34" s="49"/>
      <c r="G34" s="49"/>
      <c r="I34" s="58"/>
      <c r="J34" s="58"/>
      <c r="K34" s="58"/>
      <c r="L34" s="63"/>
      <c r="M34" s="63"/>
      <c r="N34" s="64"/>
    </row>
    <row r="35" spans="1:14" s="10" customFormat="1" ht="19.5" customHeight="1" thickBot="1" x14ac:dyDescent="0.35">
      <c r="A35" s="56"/>
      <c r="B35" s="59"/>
      <c r="G35" s="49"/>
      <c r="I35" s="58"/>
      <c r="J35" s="58"/>
      <c r="K35" s="58"/>
      <c r="L35" s="63"/>
      <c r="M35" s="63"/>
      <c r="N35" s="64"/>
    </row>
    <row r="36" spans="1:14" s="10" customFormat="1" ht="27" customHeight="1" thickBot="1" x14ac:dyDescent="0.45">
      <c r="A36" s="68" t="s">
        <v>53</v>
      </c>
      <c r="B36" s="69">
        <v>25</v>
      </c>
      <c r="C36" s="49"/>
      <c r="D36" s="326" t="s">
        <v>54</v>
      </c>
      <c r="E36" s="327"/>
      <c r="F36" s="326" t="s">
        <v>55</v>
      </c>
      <c r="G36" s="328"/>
      <c r="J36" s="58"/>
      <c r="K36" s="58"/>
      <c r="L36" s="63"/>
      <c r="M36" s="63"/>
      <c r="N36" s="64"/>
    </row>
    <row r="37" spans="1:14" s="10" customFormat="1" ht="15.75" customHeight="1" x14ac:dyDescent="0.4">
      <c r="A37" s="70" t="s">
        <v>56</v>
      </c>
      <c r="B37" s="71">
        <v>5</v>
      </c>
      <c r="C37" s="72" t="s">
        <v>57</v>
      </c>
      <c r="D37" s="73" t="s">
        <v>58</v>
      </c>
      <c r="E37" s="74" t="s">
        <v>59</v>
      </c>
      <c r="F37" s="73" t="s">
        <v>58</v>
      </c>
      <c r="G37" s="75" t="s">
        <v>59</v>
      </c>
      <c r="J37" s="58"/>
      <c r="K37" s="58"/>
      <c r="L37" s="63"/>
      <c r="M37" s="63"/>
      <c r="N37" s="64"/>
    </row>
    <row r="38" spans="1:14" s="10" customFormat="1" ht="26.25" customHeight="1" x14ac:dyDescent="0.4">
      <c r="A38" s="70" t="s">
        <v>60</v>
      </c>
      <c r="B38" s="71">
        <v>50</v>
      </c>
      <c r="C38" s="76">
        <v>1</v>
      </c>
      <c r="D38" s="77">
        <v>19651810</v>
      </c>
      <c r="E38" s="78">
        <f>IF(ISBLANK(D38),"-",$D$48/$D$45*D38)</f>
        <v>20221337.198630374</v>
      </c>
      <c r="F38" s="77">
        <v>20950147</v>
      </c>
      <c r="G38" s="79">
        <f>IF(ISBLANK(F38),"-",$D$48/$F$45*F38)</f>
        <v>20263294.312378228</v>
      </c>
      <c r="J38" s="58"/>
      <c r="K38" s="58"/>
      <c r="L38" s="63"/>
      <c r="M38" s="63"/>
      <c r="N38" s="64"/>
    </row>
    <row r="39" spans="1:14" s="10" customFormat="1" ht="26.25" customHeight="1" x14ac:dyDescent="0.4">
      <c r="A39" s="70" t="s">
        <v>61</v>
      </c>
      <c r="B39" s="71">
        <v>1</v>
      </c>
      <c r="C39" s="80">
        <v>2</v>
      </c>
      <c r="D39" s="81">
        <v>19776320</v>
      </c>
      <c r="E39" s="82">
        <f>IF(ISBLANK(D39),"-",$D$48/$D$45*D39)</f>
        <v>20349455.610858127</v>
      </c>
      <c r="F39" s="81">
        <v>21131222</v>
      </c>
      <c r="G39" s="83">
        <f>IF(ISBLANK(F39),"-",$D$48/$F$45*F39)</f>
        <v>20438432.750195101</v>
      </c>
      <c r="J39" s="58"/>
      <c r="K39" s="58"/>
      <c r="L39" s="63"/>
      <c r="M39" s="63"/>
      <c r="N39" s="64"/>
    </row>
    <row r="40" spans="1:14" ht="26.25" customHeight="1" x14ac:dyDescent="0.4">
      <c r="A40" s="70" t="s">
        <v>62</v>
      </c>
      <c r="B40" s="71">
        <v>1</v>
      </c>
      <c r="C40" s="80">
        <v>3</v>
      </c>
      <c r="D40" s="81">
        <v>19729521</v>
      </c>
      <c r="E40" s="82">
        <f>IF(ISBLANK(D40),"-",$D$48/$D$45*D40)</f>
        <v>20301300.333580427</v>
      </c>
      <c r="F40" s="81">
        <v>21175795</v>
      </c>
      <c r="G40" s="83">
        <f>IF(ISBLANK(F40),"-",$D$48/$F$45*F40)</f>
        <v>20481544.419883415</v>
      </c>
      <c r="L40" s="63"/>
      <c r="M40" s="63"/>
      <c r="N40" s="49"/>
    </row>
    <row r="41" spans="1:14" ht="26.25" customHeight="1" x14ac:dyDescent="0.4">
      <c r="A41" s="70" t="s">
        <v>63</v>
      </c>
      <c r="B41" s="71">
        <v>1</v>
      </c>
      <c r="C41" s="84">
        <v>4</v>
      </c>
      <c r="D41" s="85"/>
      <c r="E41" s="86" t="str">
        <f>IF(ISBLANK(D41),"-",$D$48/$D$45*D41)</f>
        <v>-</v>
      </c>
      <c r="F41" s="85"/>
      <c r="G41" s="87" t="str">
        <f>IF(ISBLANK(F41),"-",$D$48/$F$45*F41)</f>
        <v>-</v>
      </c>
      <c r="L41" s="63"/>
      <c r="M41" s="63"/>
      <c r="N41" s="49"/>
    </row>
    <row r="42" spans="1:14" ht="27" customHeight="1" thickBot="1" x14ac:dyDescent="0.45">
      <c r="A42" s="70" t="s">
        <v>64</v>
      </c>
      <c r="B42" s="71">
        <v>1</v>
      </c>
      <c r="C42" s="88" t="s">
        <v>65</v>
      </c>
      <c r="D42" s="89">
        <f>AVERAGE(D38:D41)</f>
        <v>19719217</v>
      </c>
      <c r="E42" s="90">
        <f>AVERAGE(E38:E41)</f>
        <v>20290697.714356311</v>
      </c>
      <c r="F42" s="91">
        <f>AVERAGE(F38:F41)</f>
        <v>21085721.333333332</v>
      </c>
      <c r="G42" s="92">
        <f>AVERAGE(G38:G41)</f>
        <v>20394423.82748558</v>
      </c>
      <c r="H42" s="37"/>
    </row>
    <row r="43" spans="1:14" ht="26.25" customHeight="1" x14ac:dyDescent="0.4">
      <c r="A43" s="70" t="s">
        <v>66</v>
      </c>
      <c r="B43" s="57">
        <v>1</v>
      </c>
      <c r="C43" s="93" t="s">
        <v>67</v>
      </c>
      <c r="D43" s="94">
        <v>14.25</v>
      </c>
      <c r="E43" s="49"/>
      <c r="F43" s="95">
        <v>15.16</v>
      </c>
      <c r="H43" s="37"/>
    </row>
    <row r="44" spans="1:14" ht="26.25" customHeight="1" x14ac:dyDescent="0.4">
      <c r="A44" s="70" t="s">
        <v>68</v>
      </c>
      <c r="B44" s="57">
        <v>1</v>
      </c>
      <c r="C44" s="96" t="s">
        <v>69</v>
      </c>
      <c r="D44" s="97">
        <f>D43*$B$34</f>
        <v>14.25</v>
      </c>
      <c r="E44" s="98"/>
      <c r="F44" s="99">
        <f>F43*$B$34</f>
        <v>15.16</v>
      </c>
      <c r="H44" s="37"/>
    </row>
    <row r="45" spans="1:14" ht="19.5" customHeight="1" thickBot="1" x14ac:dyDescent="0.35">
      <c r="A45" s="70" t="s">
        <v>70</v>
      </c>
      <c r="B45" s="59">
        <f>(B44/B43)*(B42/B41)*(B40/B39)*(B38/B37)*B36</f>
        <v>250</v>
      </c>
      <c r="C45" s="96" t="s">
        <v>71</v>
      </c>
      <c r="D45" s="100">
        <f>D44*$B$30/100</f>
        <v>14.1645</v>
      </c>
      <c r="E45" s="101"/>
      <c r="F45" s="102">
        <f>F44*$B$30/100</f>
        <v>15.069039999999999</v>
      </c>
      <c r="H45" s="37"/>
    </row>
    <row r="46" spans="1:14" ht="19.5" customHeight="1" thickBot="1" x14ac:dyDescent="0.35">
      <c r="A46" s="329" t="s">
        <v>72</v>
      </c>
      <c r="B46" s="330"/>
      <c r="C46" s="96" t="s">
        <v>73</v>
      </c>
      <c r="D46" s="97">
        <f>D45/$B$45</f>
        <v>5.6658E-2</v>
      </c>
      <c r="E46" s="101"/>
      <c r="F46" s="103">
        <f>F45/$B$45</f>
        <v>6.0276159999999995E-2</v>
      </c>
      <c r="H46" s="37"/>
    </row>
    <row r="47" spans="1:14" ht="27" customHeight="1" thickBot="1" x14ac:dyDescent="0.45">
      <c r="A47" s="331"/>
      <c r="B47" s="332"/>
      <c r="C47" s="96" t="s">
        <v>74</v>
      </c>
      <c r="D47" s="104">
        <v>5.8299999999999998E-2</v>
      </c>
      <c r="F47" s="105"/>
      <c r="H47" s="37"/>
    </row>
    <row r="48" spans="1:14" ht="18.75" x14ac:dyDescent="0.3">
      <c r="C48" s="96" t="s">
        <v>75</v>
      </c>
      <c r="D48" s="97">
        <f>D47*$B$45</f>
        <v>14.574999999999999</v>
      </c>
      <c r="F48" s="105"/>
      <c r="H48" s="37"/>
    </row>
    <row r="49" spans="1:12" ht="19.5" customHeight="1" thickBot="1" x14ac:dyDescent="0.35">
      <c r="C49" s="106" t="s">
        <v>76</v>
      </c>
      <c r="D49" s="107">
        <f>D48/B34</f>
        <v>14.574999999999999</v>
      </c>
      <c r="F49" s="108"/>
      <c r="H49" s="37"/>
    </row>
    <row r="50" spans="1:12" ht="18.75" x14ac:dyDescent="0.3">
      <c r="C50" s="109" t="s">
        <v>77</v>
      </c>
      <c r="D50" s="110">
        <f>AVERAGE(E38:E41,G38:G41)</f>
        <v>20342560.770920947</v>
      </c>
      <c r="F50" s="108"/>
      <c r="H50" s="37"/>
    </row>
    <row r="51" spans="1:12" ht="18.75" x14ac:dyDescent="0.3">
      <c r="C51" s="111" t="s">
        <v>78</v>
      </c>
      <c r="D51" s="112">
        <f>STDEV(E38:E41,G38:G41)/D50</f>
        <v>4.9761990628344561E-3</v>
      </c>
      <c r="F51" s="108"/>
    </row>
    <row r="52" spans="1:12" ht="19.5" customHeight="1" thickBot="1" x14ac:dyDescent="0.35">
      <c r="C52" s="113" t="s">
        <v>15</v>
      </c>
      <c r="D52" s="114">
        <f>COUNT(E38:E41,G38:G41)</f>
        <v>6</v>
      </c>
      <c r="F52" s="108"/>
    </row>
    <row r="54" spans="1:12" ht="18.75" x14ac:dyDescent="0.3">
      <c r="A54" s="45" t="s">
        <v>1</v>
      </c>
      <c r="B54" s="115" t="s">
        <v>79</v>
      </c>
    </row>
    <row r="55" spans="1:12" ht="18.75" x14ac:dyDescent="0.3">
      <c r="A55" s="49" t="s">
        <v>80</v>
      </c>
      <c r="B55" s="116" t="str">
        <f>B21</f>
        <v xml:space="preserve">EACH TABLETS CONTAINS ATAZANAVIR AND RITONAVIR TALETS 300/100 </v>
      </c>
    </row>
    <row r="56" spans="1:12" ht="26.25" customHeight="1" x14ac:dyDescent="0.4">
      <c r="A56" s="116" t="s">
        <v>81</v>
      </c>
      <c r="B56" s="57">
        <v>100</v>
      </c>
      <c r="C56" s="49" t="str">
        <f>B20</f>
        <v>RITONAVIR</v>
      </c>
      <c r="H56" s="98"/>
    </row>
    <row r="57" spans="1:12" ht="18.75" x14ac:dyDescent="0.3">
      <c r="A57" s="116" t="s">
        <v>82</v>
      </c>
      <c r="B57" s="117">
        <f>Uniformity!C46</f>
        <v>1962.3735000000004</v>
      </c>
      <c r="H57" s="98"/>
    </row>
    <row r="58" spans="1:12" ht="19.5" customHeight="1" thickBot="1" x14ac:dyDescent="0.35">
      <c r="H58" s="98"/>
    </row>
    <row r="59" spans="1:12" s="10" customFormat="1" ht="27" customHeight="1" thickBot="1" x14ac:dyDescent="0.45">
      <c r="A59" s="68" t="s">
        <v>83</v>
      </c>
      <c r="B59" s="69">
        <v>200</v>
      </c>
      <c r="C59" s="49"/>
      <c r="D59" s="118" t="s">
        <v>84</v>
      </c>
      <c r="E59" s="119" t="s">
        <v>85</v>
      </c>
      <c r="F59" s="119" t="s">
        <v>58</v>
      </c>
      <c r="G59" s="119" t="s">
        <v>86</v>
      </c>
      <c r="H59" s="72" t="s">
        <v>87</v>
      </c>
      <c r="L59" s="58"/>
    </row>
    <row r="60" spans="1:12" s="10" customFormat="1" ht="22.5" customHeight="1" x14ac:dyDescent="0.4">
      <c r="A60" s="70" t="s">
        <v>88</v>
      </c>
      <c r="B60" s="71">
        <v>3</v>
      </c>
      <c r="C60" s="333" t="s">
        <v>89</v>
      </c>
      <c r="D60" s="336">
        <v>1961.93</v>
      </c>
      <c r="E60" s="120">
        <v>1</v>
      </c>
      <c r="F60" s="121">
        <v>21527855</v>
      </c>
      <c r="G60" s="122">
        <f>IF(ISBLANK(F60),"-",(F60/$D$50*$D$47*$B$68)*($B$57/$D$60))</f>
        <v>102.85149394936745</v>
      </c>
      <c r="H60" s="123">
        <f t="shared" ref="H60:H71" si="0">IF(ISBLANK(F60),"-",G60/$B$56)</f>
        <v>1.0285149394936746</v>
      </c>
      <c r="L60" s="58"/>
    </row>
    <row r="61" spans="1:12" s="10" customFormat="1" ht="26.25" customHeight="1" x14ac:dyDescent="0.4">
      <c r="A61" s="70" t="s">
        <v>90</v>
      </c>
      <c r="B61" s="71">
        <v>25</v>
      </c>
      <c r="C61" s="334"/>
      <c r="D61" s="337"/>
      <c r="E61" s="124">
        <v>2</v>
      </c>
      <c r="F61" s="81">
        <v>21413210</v>
      </c>
      <c r="G61" s="125">
        <f>IF(ISBLANK(F61),"-",(F61/$D$50*$D$47*$B$68)*($B$57/$D$60))</f>
        <v>102.30376592333675</v>
      </c>
      <c r="H61" s="126">
        <f t="shared" si="0"/>
        <v>1.0230376592333676</v>
      </c>
      <c r="L61" s="58"/>
    </row>
    <row r="62" spans="1:12" s="10" customFormat="1" ht="26.25" customHeight="1" x14ac:dyDescent="0.4">
      <c r="A62" s="70" t="s">
        <v>91</v>
      </c>
      <c r="B62" s="71">
        <v>1</v>
      </c>
      <c r="C62" s="334"/>
      <c r="D62" s="337"/>
      <c r="E62" s="124">
        <v>3</v>
      </c>
      <c r="F62" s="81">
        <v>21333394</v>
      </c>
      <c r="G62" s="125">
        <f>IF(ISBLANK(F62),"-",(F62/$D$50*$D$47*$B$68)*($B$57/$D$60))</f>
        <v>101.92243695019647</v>
      </c>
      <c r="H62" s="126">
        <f t="shared" si="0"/>
        <v>1.0192243695019647</v>
      </c>
      <c r="L62" s="58"/>
    </row>
    <row r="63" spans="1:12" ht="21" customHeight="1" thickBot="1" x14ac:dyDescent="0.45">
      <c r="A63" s="70" t="s">
        <v>92</v>
      </c>
      <c r="B63" s="71">
        <v>1</v>
      </c>
      <c r="C63" s="335"/>
      <c r="D63" s="338"/>
      <c r="E63" s="127">
        <v>4</v>
      </c>
      <c r="F63" s="128"/>
      <c r="G63" s="125" t="str">
        <f>IF(ISBLANK(F63),"-",(F63/$D$50*$D$47*$B$68)*($B$57/$D$60))</f>
        <v>-</v>
      </c>
      <c r="H63" s="126" t="str">
        <f t="shared" si="0"/>
        <v>-</v>
      </c>
    </row>
    <row r="64" spans="1:12" ht="26.25" customHeight="1" x14ac:dyDescent="0.4">
      <c r="A64" s="70" t="s">
        <v>93</v>
      </c>
      <c r="B64" s="71">
        <v>1</v>
      </c>
      <c r="C64" s="333" t="s">
        <v>94</v>
      </c>
      <c r="D64" s="336">
        <v>1963.91</v>
      </c>
      <c r="E64" s="120">
        <v>1</v>
      </c>
      <c r="F64" s="121">
        <v>21346356</v>
      </c>
      <c r="G64" s="129">
        <f>IF(ISBLANK(F64),"-",(F64/$D$50*$D$47*$B$68)*($B$57/$D$64))</f>
        <v>101.88154430399928</v>
      </c>
      <c r="H64" s="130">
        <f t="shared" si="0"/>
        <v>1.0188154430399927</v>
      </c>
    </row>
    <row r="65" spans="1:8" ht="26.25" customHeight="1" x14ac:dyDescent="0.4">
      <c r="A65" s="70" t="s">
        <v>95</v>
      </c>
      <c r="B65" s="71">
        <v>1</v>
      </c>
      <c r="C65" s="334"/>
      <c r="D65" s="337"/>
      <c r="E65" s="124">
        <v>2</v>
      </c>
      <c r="F65" s="81">
        <v>21401532</v>
      </c>
      <c r="G65" s="131">
        <f>IF(ISBLANK(F65),"-",(F65/$D$50*$D$47*$B$68)*($B$57/$D$64))</f>
        <v>102.14488742862991</v>
      </c>
      <c r="H65" s="132">
        <f t="shared" si="0"/>
        <v>1.021448874286299</v>
      </c>
    </row>
    <row r="66" spans="1:8" ht="26.25" customHeight="1" x14ac:dyDescent="0.4">
      <c r="A66" s="70" t="s">
        <v>96</v>
      </c>
      <c r="B66" s="71">
        <v>1</v>
      </c>
      <c r="C66" s="334"/>
      <c r="D66" s="337"/>
      <c r="E66" s="124">
        <v>3</v>
      </c>
      <c r="F66" s="81">
        <v>21306431</v>
      </c>
      <c r="G66" s="131">
        <f>IF(ISBLANK(F66),"-",(F66/$D$50*$D$47*$B$68)*($B$57/$D$64))</f>
        <v>101.69099090667297</v>
      </c>
      <c r="H66" s="132">
        <f t="shared" si="0"/>
        <v>1.0169099090667297</v>
      </c>
    </row>
    <row r="67" spans="1:8" ht="21" customHeight="1" thickBot="1" x14ac:dyDescent="0.45">
      <c r="A67" s="70" t="s">
        <v>97</v>
      </c>
      <c r="B67" s="71">
        <v>1</v>
      </c>
      <c r="C67" s="335"/>
      <c r="D67" s="338"/>
      <c r="E67" s="127">
        <v>4</v>
      </c>
      <c r="F67" s="128"/>
      <c r="G67" s="133" t="str">
        <f>IF(ISBLANK(F67),"-",(F67/$D$50*$D$47*$B$68)*($B$57/$D$64))</f>
        <v>-</v>
      </c>
      <c r="H67" s="134" t="str">
        <f t="shared" si="0"/>
        <v>-</v>
      </c>
    </row>
    <row r="68" spans="1:8" ht="21.75" customHeight="1" x14ac:dyDescent="0.4">
      <c r="A68" s="70" t="s">
        <v>98</v>
      </c>
      <c r="B68" s="135">
        <f>(B67/B66)*(B65/B64)*(B63/B62)*(B61/B60)*B59</f>
        <v>1666.6666666666667</v>
      </c>
      <c r="C68" s="333" t="s">
        <v>99</v>
      </c>
      <c r="D68" s="336">
        <v>1961.8</v>
      </c>
      <c r="E68" s="120">
        <v>1</v>
      </c>
      <c r="F68" s="121">
        <v>20915003</v>
      </c>
      <c r="G68" s="129">
        <f>IF(ISBLANK(F68),"-",(F68/$D$50*$D$47*$B$68)*($B$57/$D$68))</f>
        <v>99.930153338649035</v>
      </c>
      <c r="H68" s="126">
        <f t="shared" si="0"/>
        <v>0.9993015333864903</v>
      </c>
    </row>
    <row r="69" spans="1:8" ht="21.75" customHeight="1" thickBot="1" x14ac:dyDescent="0.45">
      <c r="A69" s="136" t="s">
        <v>100</v>
      </c>
      <c r="B69" s="137">
        <f>D47*B68/B56*B57</f>
        <v>1906.7729175000004</v>
      </c>
      <c r="C69" s="334"/>
      <c r="D69" s="337"/>
      <c r="E69" s="124">
        <v>2</v>
      </c>
      <c r="F69" s="81">
        <v>20950368</v>
      </c>
      <c r="G69" s="131">
        <f>IF(ISBLANK(F69),"-",(F69/$D$50*$D$47*$B$68)*($B$57/$D$68))</f>
        <v>100.09912438172378</v>
      </c>
      <c r="H69" s="126">
        <f t="shared" si="0"/>
        <v>1.0009912438172379</v>
      </c>
    </row>
    <row r="70" spans="1:8" ht="22.5" customHeight="1" x14ac:dyDescent="0.4">
      <c r="A70" s="342" t="s">
        <v>72</v>
      </c>
      <c r="B70" s="343"/>
      <c r="C70" s="334"/>
      <c r="D70" s="337"/>
      <c r="E70" s="124">
        <v>3</v>
      </c>
      <c r="F70" s="81">
        <v>20963676</v>
      </c>
      <c r="G70" s="131">
        <f>IF(ISBLANK(F70),"-",(F70/$D$50*$D$47*$B$68)*($B$57/$D$68))</f>
        <v>100.16270890430934</v>
      </c>
      <c r="H70" s="126">
        <f t="shared" si="0"/>
        <v>1.0016270890430934</v>
      </c>
    </row>
    <row r="71" spans="1:8" ht="21.75" customHeight="1" thickBot="1" x14ac:dyDescent="0.45">
      <c r="A71" s="344"/>
      <c r="B71" s="345"/>
      <c r="C71" s="341"/>
      <c r="D71" s="338"/>
      <c r="E71" s="127">
        <v>4</v>
      </c>
      <c r="F71" s="128"/>
      <c r="G71" s="133" t="str">
        <f>IF(ISBLANK(F71),"-",(F71/$D$50*$D$47*$B$68)*($B$57/$D$68))</f>
        <v>-</v>
      </c>
      <c r="H71" s="138" t="str">
        <f t="shared" si="0"/>
        <v>-</v>
      </c>
    </row>
    <row r="72" spans="1:8" ht="26.25" customHeight="1" x14ac:dyDescent="0.4">
      <c r="A72" s="98"/>
      <c r="B72" s="98"/>
      <c r="C72" s="98"/>
      <c r="D72" s="98"/>
      <c r="E72" s="98"/>
      <c r="F72" s="98"/>
      <c r="G72" s="139" t="s">
        <v>65</v>
      </c>
      <c r="H72" s="140">
        <f>AVERAGE(H60:H71)</f>
        <v>1.0144301178743165</v>
      </c>
    </row>
    <row r="73" spans="1:8" ht="26.25" customHeight="1" x14ac:dyDescent="0.4">
      <c r="C73" s="98"/>
      <c r="D73" s="98"/>
      <c r="E73" s="98"/>
      <c r="F73" s="98"/>
      <c r="G73" s="111" t="s">
        <v>78</v>
      </c>
      <c r="H73" s="141">
        <f>STDEV(H60:H71)/H72</f>
        <v>1.0705395294686849E-2</v>
      </c>
    </row>
    <row r="74" spans="1:8" ht="27" customHeight="1" thickBot="1" x14ac:dyDescent="0.45">
      <c r="A74" s="98"/>
      <c r="B74" s="98"/>
      <c r="C74" s="98"/>
      <c r="D74" s="98"/>
      <c r="E74" s="101"/>
      <c r="F74" s="98"/>
      <c r="G74" s="113" t="s">
        <v>15</v>
      </c>
      <c r="H74" s="142">
        <f>COUNT(H60:H71)</f>
        <v>9</v>
      </c>
    </row>
    <row r="75" spans="1:8" ht="18.75" x14ac:dyDescent="0.3">
      <c r="A75" s="98"/>
      <c r="B75" s="98"/>
      <c r="C75" s="98"/>
      <c r="D75" s="98"/>
      <c r="E75" s="101"/>
      <c r="F75" s="98"/>
      <c r="G75" s="56"/>
      <c r="H75" s="59"/>
    </row>
    <row r="76" spans="1:8" ht="18.75" x14ac:dyDescent="0.3">
      <c r="A76" s="53" t="s">
        <v>101</v>
      </c>
      <c r="B76" s="56" t="s">
        <v>102</v>
      </c>
      <c r="C76" s="346" t="str">
        <f>B20</f>
        <v>RITONAVIR</v>
      </c>
      <c r="D76" s="346"/>
      <c r="E76" s="49" t="s">
        <v>103</v>
      </c>
      <c r="F76" s="49"/>
      <c r="G76" s="143">
        <f>H72</f>
        <v>1.0144301178743165</v>
      </c>
      <c r="H76" s="59"/>
    </row>
    <row r="77" spans="1:8" ht="18.75" x14ac:dyDescent="0.3">
      <c r="A77" s="98"/>
      <c r="B77" s="98"/>
      <c r="C77" s="98"/>
      <c r="D77" s="98"/>
      <c r="E77" s="101"/>
      <c r="F77" s="98"/>
      <c r="G77" s="56"/>
      <c r="H77" s="59"/>
    </row>
    <row r="78" spans="1:8" ht="26.25" customHeight="1" x14ac:dyDescent="0.4">
      <c r="A78" s="52" t="s">
        <v>104</v>
      </c>
      <c r="B78" s="52" t="s">
        <v>105</v>
      </c>
      <c r="D78" s="144">
        <v>45</v>
      </c>
    </row>
    <row r="79" spans="1:8" ht="18.75" x14ac:dyDescent="0.3">
      <c r="A79" s="52"/>
      <c r="B79" s="52"/>
    </row>
    <row r="80" spans="1:8" ht="26.25" customHeight="1" x14ac:dyDescent="0.4">
      <c r="A80" s="53" t="s">
        <v>4</v>
      </c>
      <c r="B80" s="57" t="str">
        <f>B26</f>
        <v>Ritonavir</v>
      </c>
      <c r="C80" s="55"/>
    </row>
    <row r="81" spans="1:12" ht="26.25" customHeight="1" x14ac:dyDescent="0.4">
      <c r="A81" s="56" t="s">
        <v>43</v>
      </c>
      <c r="B81" s="57" t="str">
        <f>B27</f>
        <v>R14-3</v>
      </c>
    </row>
    <row r="82" spans="1:12" ht="27" customHeight="1" thickBot="1" x14ac:dyDescent="0.45">
      <c r="A82" s="56" t="s">
        <v>5</v>
      </c>
      <c r="B82" s="57">
        <v>99.4</v>
      </c>
    </row>
    <row r="83" spans="1:12" s="10" customFormat="1" ht="27" customHeight="1" thickBot="1" x14ac:dyDescent="0.45">
      <c r="A83" s="56" t="s">
        <v>44</v>
      </c>
      <c r="B83" s="57">
        <f>B29</f>
        <v>0</v>
      </c>
      <c r="C83" s="323" t="s">
        <v>45</v>
      </c>
      <c r="D83" s="324"/>
      <c r="E83" s="324"/>
      <c r="F83" s="324"/>
      <c r="G83" s="325"/>
      <c r="I83" s="58"/>
      <c r="J83" s="58"/>
      <c r="K83" s="58"/>
      <c r="L83" s="58"/>
    </row>
    <row r="84" spans="1:12" s="10" customFormat="1" ht="18.75" x14ac:dyDescent="0.3">
      <c r="A84" s="56" t="s">
        <v>46</v>
      </c>
      <c r="B84" s="59">
        <f>B82-B83</f>
        <v>99.4</v>
      </c>
      <c r="C84" s="60"/>
      <c r="D84" s="60"/>
      <c r="E84" s="60"/>
      <c r="F84" s="60"/>
      <c r="G84" s="61"/>
      <c r="I84" s="58"/>
      <c r="J84" s="58"/>
      <c r="K84" s="58"/>
      <c r="L84" s="58"/>
    </row>
    <row r="85" spans="1:12" s="10" customFormat="1" ht="19.5" customHeight="1" thickBot="1" x14ac:dyDescent="0.35">
      <c r="A85" s="56"/>
      <c r="B85" s="59"/>
      <c r="C85" s="60"/>
      <c r="D85" s="60"/>
      <c r="E85" s="60"/>
      <c r="F85" s="60"/>
      <c r="G85" s="61"/>
      <c r="I85" s="58"/>
      <c r="J85" s="58"/>
      <c r="K85" s="58"/>
      <c r="L85" s="58"/>
    </row>
    <row r="86" spans="1:12" s="10" customFormat="1" ht="27" customHeight="1" thickBot="1" x14ac:dyDescent="0.45">
      <c r="A86" s="56" t="s">
        <v>47</v>
      </c>
      <c r="B86" s="62">
        <v>1</v>
      </c>
      <c r="C86" s="314" t="s">
        <v>48</v>
      </c>
      <c r="D86" s="315"/>
      <c r="E86" s="315"/>
      <c r="F86" s="315"/>
      <c r="G86" s="315"/>
      <c r="H86" s="316"/>
      <c r="I86" s="58"/>
      <c r="J86" s="58"/>
      <c r="K86" s="58"/>
      <c r="L86" s="58"/>
    </row>
    <row r="87" spans="1:12" s="10" customFormat="1" ht="27" customHeight="1" thickBot="1" x14ac:dyDescent="0.45">
      <c r="A87" s="56" t="s">
        <v>49</v>
      </c>
      <c r="B87" s="62">
        <v>1</v>
      </c>
      <c r="C87" s="314" t="s">
        <v>50</v>
      </c>
      <c r="D87" s="315"/>
      <c r="E87" s="315"/>
      <c r="F87" s="315"/>
      <c r="G87" s="315"/>
      <c r="H87" s="316"/>
      <c r="I87" s="58"/>
      <c r="J87" s="58"/>
      <c r="K87" s="58"/>
      <c r="L87" s="58"/>
    </row>
    <row r="88" spans="1:12" s="10" customFormat="1" ht="18.75" x14ac:dyDescent="0.3">
      <c r="A88" s="56"/>
      <c r="B88" s="59"/>
      <c r="C88" s="60"/>
      <c r="D88" s="60"/>
      <c r="E88" s="60"/>
      <c r="F88" s="60"/>
      <c r="G88" s="61"/>
      <c r="I88" s="58"/>
      <c r="J88" s="58"/>
      <c r="K88" s="58"/>
      <c r="L88" s="58"/>
    </row>
    <row r="89" spans="1:12" ht="18.75" x14ac:dyDescent="0.3">
      <c r="A89" s="56" t="s">
        <v>51</v>
      </c>
      <c r="B89" s="67">
        <f>B86/B87</f>
        <v>1</v>
      </c>
      <c r="C89" s="49" t="s">
        <v>52</v>
      </c>
    </row>
    <row r="90" spans="1:12" ht="19.5" customHeight="1" thickBot="1" x14ac:dyDescent="0.35">
      <c r="A90" s="56"/>
      <c r="B90" s="67"/>
    </row>
    <row r="91" spans="1:12" ht="27" customHeight="1" thickBot="1" x14ac:dyDescent="0.45">
      <c r="A91" s="68" t="s">
        <v>53</v>
      </c>
      <c r="B91" s="69">
        <v>20</v>
      </c>
      <c r="D91" s="145" t="s">
        <v>54</v>
      </c>
      <c r="E91" s="146"/>
      <c r="F91" s="326" t="s">
        <v>55</v>
      </c>
      <c r="G91" s="328"/>
    </row>
    <row r="92" spans="1:12" ht="26.25" customHeight="1" x14ac:dyDescent="0.4">
      <c r="A92" s="70" t="s">
        <v>56</v>
      </c>
      <c r="B92" s="71">
        <v>4</v>
      </c>
      <c r="C92" s="147" t="s">
        <v>57</v>
      </c>
      <c r="D92" s="73" t="s">
        <v>58</v>
      </c>
      <c r="E92" s="74" t="s">
        <v>59</v>
      </c>
      <c r="F92" s="73" t="s">
        <v>58</v>
      </c>
      <c r="G92" s="75" t="s">
        <v>59</v>
      </c>
    </row>
    <row r="93" spans="1:12" ht="26.25" customHeight="1" x14ac:dyDescent="0.4">
      <c r="A93" s="70" t="s">
        <v>60</v>
      </c>
      <c r="B93" s="71">
        <v>20</v>
      </c>
      <c r="C93" s="148">
        <v>1</v>
      </c>
      <c r="D93" s="77">
        <v>19614688</v>
      </c>
      <c r="E93" s="78">
        <f>IF(ISBLANK(D93),"-",$D$103/$D$100*D93)</f>
        <v>20395955.058516476</v>
      </c>
      <c r="F93" s="77">
        <v>20741243</v>
      </c>
      <c r="G93" s="79">
        <f>IF(ISBLANK(F93),"-",$D$103/$F$100*F93)</f>
        <v>19969797.731744085</v>
      </c>
    </row>
    <row r="94" spans="1:12" ht="26.25" customHeight="1" x14ac:dyDescent="0.4">
      <c r="A94" s="70" t="s">
        <v>61</v>
      </c>
      <c r="B94" s="71">
        <v>1</v>
      </c>
      <c r="C94" s="98">
        <v>2</v>
      </c>
      <c r="D94" s="81">
        <v>19565052</v>
      </c>
      <c r="E94" s="82">
        <f>IF(ISBLANK(D94),"-",$D$103/$D$100*D94)</f>
        <v>20344342.021118965</v>
      </c>
      <c r="F94" s="81">
        <v>20723272</v>
      </c>
      <c r="G94" s="83">
        <f>IF(ISBLANK(F94),"-",$D$103/$F$100*F94)</f>
        <v>19952495.141198419</v>
      </c>
    </row>
    <row r="95" spans="1:12" ht="26.25" customHeight="1" x14ac:dyDescent="0.4">
      <c r="A95" s="70" t="s">
        <v>62</v>
      </c>
      <c r="B95" s="71">
        <v>1</v>
      </c>
      <c r="C95" s="98">
        <v>3</v>
      </c>
      <c r="D95" s="81">
        <v>19492181</v>
      </c>
      <c r="E95" s="82">
        <f>IF(ISBLANK(D95),"-",$D$103/$D$100*D95)</f>
        <v>20268568.517045427</v>
      </c>
      <c r="F95" s="81">
        <v>20809087</v>
      </c>
      <c r="G95" s="83">
        <f>IF(ISBLANK(F95),"-",$D$103/$F$100*F95)</f>
        <v>20035118.356805585</v>
      </c>
    </row>
    <row r="96" spans="1:12" ht="26.25" customHeight="1" x14ac:dyDescent="0.4">
      <c r="A96" s="70" t="s">
        <v>63</v>
      </c>
      <c r="B96" s="71">
        <v>1</v>
      </c>
      <c r="C96" s="149">
        <v>4</v>
      </c>
      <c r="D96" s="85"/>
      <c r="E96" s="86" t="str">
        <f>IF(ISBLANK(D96),"-",$D$103/$D$100*D96)</f>
        <v>-</v>
      </c>
      <c r="F96" s="150"/>
      <c r="G96" s="87" t="str">
        <f>IF(ISBLANK(F96),"-",$D$103/$F$100*F96)</f>
        <v>-</v>
      </c>
    </row>
    <row r="97" spans="1:10" ht="27" customHeight="1" thickBot="1" x14ac:dyDescent="0.45">
      <c r="A97" s="70" t="s">
        <v>64</v>
      </c>
      <c r="B97" s="71">
        <v>1</v>
      </c>
      <c r="C97" s="56" t="s">
        <v>65</v>
      </c>
      <c r="D97" s="151">
        <f>AVERAGE(D93:D96)</f>
        <v>19557307</v>
      </c>
      <c r="E97" s="90">
        <f>AVERAGE(E93:E96)</f>
        <v>20336288.532226954</v>
      </c>
      <c r="F97" s="152">
        <f>AVERAGE(F93:F96)</f>
        <v>20757867.333333332</v>
      </c>
      <c r="G97" s="153">
        <f>AVERAGE(G93:G96)</f>
        <v>19985803.743249364</v>
      </c>
    </row>
    <row r="98" spans="1:10" ht="26.25" customHeight="1" x14ac:dyDescent="0.4">
      <c r="A98" s="70" t="s">
        <v>66</v>
      </c>
      <c r="B98" s="57">
        <v>1</v>
      </c>
      <c r="C98" s="93" t="s">
        <v>67</v>
      </c>
      <c r="D98" s="94">
        <v>10.75</v>
      </c>
      <c r="E98" s="49"/>
      <c r="F98" s="95">
        <v>11.61</v>
      </c>
    </row>
    <row r="99" spans="1:10" ht="26.25" customHeight="1" x14ac:dyDescent="0.4">
      <c r="A99" s="70" t="s">
        <v>68</v>
      </c>
      <c r="B99" s="57">
        <v>1</v>
      </c>
      <c r="C99" s="96" t="s">
        <v>69</v>
      </c>
      <c r="D99" s="97">
        <f>D98*$B$89</f>
        <v>10.75</v>
      </c>
      <c r="E99" s="98"/>
      <c r="F99" s="99">
        <f>F98*$B$89</f>
        <v>11.61</v>
      </c>
    </row>
    <row r="100" spans="1:10" ht="19.5" customHeight="1" thickBot="1" x14ac:dyDescent="0.35">
      <c r="A100" s="70" t="s">
        <v>70</v>
      </c>
      <c r="B100" s="59">
        <f>(B99/B98)*(B97/B96)*(B95/B94)*(B93/B92)*B91</f>
        <v>100</v>
      </c>
      <c r="C100" s="96" t="s">
        <v>71</v>
      </c>
      <c r="D100" s="100">
        <f>D99*$B$84/100</f>
        <v>10.685499999999999</v>
      </c>
      <c r="E100" s="101"/>
      <c r="F100" s="102">
        <f>F99*$B$84/100</f>
        <v>11.54034</v>
      </c>
    </row>
    <row r="101" spans="1:10" ht="19.5" customHeight="1" thickBot="1" x14ac:dyDescent="0.35">
      <c r="A101" s="329" t="s">
        <v>72</v>
      </c>
      <c r="B101" s="330"/>
      <c r="C101" s="96" t="s">
        <v>73</v>
      </c>
      <c r="D101" s="97">
        <f>D100/$B$100</f>
        <v>0.10685499999999999</v>
      </c>
      <c r="E101" s="101"/>
      <c r="F101" s="103">
        <f>F100/$B$100</f>
        <v>0.1154034</v>
      </c>
      <c r="H101" s="37"/>
    </row>
    <row r="102" spans="1:10" ht="19.5" customHeight="1" thickBot="1" x14ac:dyDescent="0.35">
      <c r="A102" s="331"/>
      <c r="B102" s="332"/>
      <c r="C102" s="96" t="s">
        <v>74</v>
      </c>
      <c r="D102" s="100">
        <f>$B$56/$B$118</f>
        <v>0.1111111111111111</v>
      </c>
      <c r="F102" s="105"/>
      <c r="G102" s="154"/>
      <c r="H102" s="37"/>
    </row>
    <row r="103" spans="1:10" ht="18.75" x14ac:dyDescent="0.3">
      <c r="C103" s="96" t="s">
        <v>75</v>
      </c>
      <c r="D103" s="97">
        <f>D102*$B$100</f>
        <v>11.111111111111111</v>
      </c>
      <c r="F103" s="105"/>
      <c r="H103" s="37"/>
    </row>
    <row r="104" spans="1:10" ht="19.5" customHeight="1" thickBot="1" x14ac:dyDescent="0.35">
      <c r="C104" s="106" t="s">
        <v>76</v>
      </c>
      <c r="D104" s="107">
        <f>D103/B34</f>
        <v>11.111111111111111</v>
      </c>
      <c r="F104" s="108"/>
      <c r="H104" s="37"/>
      <c r="J104" s="155"/>
    </row>
    <row r="105" spans="1:10" ht="18.75" x14ac:dyDescent="0.3">
      <c r="C105" s="109" t="s">
        <v>77</v>
      </c>
      <c r="D105" s="110">
        <f>AVERAGE(E93:E96,G93:G96)</f>
        <v>20161046.137738157</v>
      </c>
      <c r="F105" s="108"/>
      <c r="G105" s="154"/>
      <c r="H105" s="37"/>
      <c r="J105" s="156"/>
    </row>
    <row r="106" spans="1:10" ht="18.75" x14ac:dyDescent="0.3">
      <c r="C106" s="111" t="s">
        <v>78</v>
      </c>
      <c r="D106" s="157">
        <f>STDEV(E93:E96,G93:G96)/D105</f>
        <v>9.8271276042200192E-3</v>
      </c>
      <c r="F106" s="108"/>
      <c r="H106" s="37"/>
      <c r="J106" s="156"/>
    </row>
    <row r="107" spans="1:10" ht="19.5" customHeight="1" thickBot="1" x14ac:dyDescent="0.35">
      <c r="C107" s="113" t="s">
        <v>15</v>
      </c>
      <c r="D107" s="158">
        <f>COUNT(E93:E96,G93:G96)</f>
        <v>6</v>
      </c>
      <c r="F107" s="108"/>
      <c r="H107" s="37"/>
      <c r="J107" s="156"/>
    </row>
    <row r="108" spans="1:10" ht="19.5" customHeight="1" thickBot="1" x14ac:dyDescent="0.35">
      <c r="A108" s="45"/>
      <c r="B108" s="45"/>
      <c r="C108" s="45"/>
      <c r="D108" s="45"/>
      <c r="E108" s="45"/>
    </row>
    <row r="109" spans="1:10" ht="26.25" customHeight="1" x14ac:dyDescent="0.4">
      <c r="A109" s="68" t="s">
        <v>106</v>
      </c>
      <c r="B109" s="69">
        <v>900</v>
      </c>
      <c r="C109" s="145" t="s">
        <v>107</v>
      </c>
      <c r="D109" s="159" t="s">
        <v>58</v>
      </c>
      <c r="E109" s="160" t="s">
        <v>108</v>
      </c>
      <c r="F109" s="161" t="s">
        <v>109</v>
      </c>
    </row>
    <row r="110" spans="1:10" ht="26.25" customHeight="1" x14ac:dyDescent="0.4">
      <c r="A110" s="70" t="s">
        <v>88</v>
      </c>
      <c r="B110" s="71">
        <v>1</v>
      </c>
      <c r="C110" s="162">
        <v>1</v>
      </c>
      <c r="D110" s="163">
        <v>10364411</v>
      </c>
      <c r="E110" s="164">
        <f t="shared" ref="E110:E115" si="1">IF(ISBLANK(D110),"-",D110/$D$105*$D$102*$B$118)</f>
        <v>51.408101192722974</v>
      </c>
      <c r="F110" s="165">
        <f t="shared" ref="F110:F115" si="2">IF(ISBLANK(D110), "-", E110/$B$56)</f>
        <v>0.51408101192722977</v>
      </c>
    </row>
    <row r="111" spans="1:10" ht="26.25" customHeight="1" x14ac:dyDescent="0.4">
      <c r="A111" s="70" t="s">
        <v>90</v>
      </c>
      <c r="B111" s="71">
        <v>1</v>
      </c>
      <c r="C111" s="162">
        <v>2</v>
      </c>
      <c r="D111" s="163">
        <v>10433542</v>
      </c>
      <c r="E111" s="166">
        <f t="shared" si="1"/>
        <v>51.750995105705982</v>
      </c>
      <c r="F111" s="167">
        <f t="shared" si="2"/>
        <v>0.51750995105705977</v>
      </c>
    </row>
    <row r="112" spans="1:10" ht="26.25" customHeight="1" x14ac:dyDescent="0.4">
      <c r="A112" s="70" t="s">
        <v>91</v>
      </c>
      <c r="B112" s="71">
        <v>1</v>
      </c>
      <c r="C112" s="162">
        <v>3</v>
      </c>
      <c r="D112" s="163">
        <v>10406743</v>
      </c>
      <c r="E112" s="166">
        <f t="shared" si="1"/>
        <v>51.618070455780028</v>
      </c>
      <c r="F112" s="167">
        <f t="shared" si="2"/>
        <v>0.5161807045578003</v>
      </c>
    </row>
    <row r="113" spans="1:10" ht="26.25" customHeight="1" x14ac:dyDescent="0.4">
      <c r="A113" s="70" t="s">
        <v>92</v>
      </c>
      <c r="B113" s="71">
        <v>1</v>
      </c>
      <c r="C113" s="162">
        <v>4</v>
      </c>
      <c r="D113" s="163">
        <v>10419871</v>
      </c>
      <c r="E113" s="166">
        <f t="shared" si="1"/>
        <v>51.683186124432886</v>
      </c>
      <c r="F113" s="167">
        <f t="shared" si="2"/>
        <v>0.51683186124432889</v>
      </c>
    </row>
    <row r="114" spans="1:10" ht="26.25" customHeight="1" x14ac:dyDescent="0.4">
      <c r="A114" s="70" t="s">
        <v>93</v>
      </c>
      <c r="B114" s="71">
        <v>1</v>
      </c>
      <c r="C114" s="162">
        <v>5</v>
      </c>
      <c r="D114" s="163">
        <v>10416428</v>
      </c>
      <c r="E114" s="166">
        <f t="shared" si="1"/>
        <v>51.666108637597738</v>
      </c>
      <c r="F114" s="167">
        <f t="shared" si="2"/>
        <v>0.51666108637597741</v>
      </c>
    </row>
    <row r="115" spans="1:10" ht="26.25" customHeight="1" x14ac:dyDescent="0.4">
      <c r="A115" s="70" t="s">
        <v>95</v>
      </c>
      <c r="B115" s="71">
        <v>1</v>
      </c>
      <c r="C115" s="168">
        <v>6</v>
      </c>
      <c r="D115" s="169">
        <v>10358489</v>
      </c>
      <c r="E115" s="170">
        <f t="shared" si="1"/>
        <v>51.378727716964121</v>
      </c>
      <c r="F115" s="171">
        <f t="shared" si="2"/>
        <v>0.51378727716964123</v>
      </c>
    </row>
    <row r="116" spans="1:10" ht="26.25" customHeight="1" x14ac:dyDescent="0.4">
      <c r="A116" s="70" t="s">
        <v>96</v>
      </c>
      <c r="B116" s="71">
        <v>1</v>
      </c>
      <c r="C116" s="162"/>
      <c r="D116" s="98"/>
      <c r="E116" s="49"/>
      <c r="F116" s="185"/>
    </row>
    <row r="117" spans="1:10" ht="26.25" customHeight="1" x14ac:dyDescent="0.4">
      <c r="A117" s="70" t="s">
        <v>97</v>
      </c>
      <c r="B117" s="71">
        <v>1</v>
      </c>
      <c r="C117" s="162"/>
      <c r="D117" s="173"/>
      <c r="E117" s="174" t="s">
        <v>65</v>
      </c>
      <c r="F117" s="175">
        <f>AVERAGE(F110:F115)</f>
        <v>0.5158419820553396</v>
      </c>
    </row>
    <row r="118" spans="1:10" ht="19.5" customHeight="1" thickBot="1" x14ac:dyDescent="0.35">
      <c r="A118" s="70" t="s">
        <v>98</v>
      </c>
      <c r="B118" s="135">
        <f>(B117/B116)*(B115/B114)*(B113/B112)*(B111/B110)*B109</f>
        <v>900</v>
      </c>
      <c r="C118" s="176"/>
      <c r="D118" s="177"/>
      <c r="E118" s="56" t="s">
        <v>78</v>
      </c>
      <c r="F118" s="178">
        <f>STDEV(F110:F115)/F117</f>
        <v>2.9869802234365876E-3</v>
      </c>
      <c r="I118" s="49"/>
    </row>
    <row r="119" spans="1:10" ht="19.5" customHeight="1" thickBot="1" x14ac:dyDescent="0.35">
      <c r="A119" s="329" t="s">
        <v>72</v>
      </c>
      <c r="B119" s="339"/>
      <c r="C119" s="179"/>
      <c r="D119" s="180"/>
      <c r="E119" s="181" t="s">
        <v>15</v>
      </c>
      <c r="F119" s="158">
        <f>COUNT(F110:F115)</f>
        <v>6</v>
      </c>
      <c r="I119" s="49"/>
      <c r="J119" s="156"/>
    </row>
    <row r="120" spans="1:10" ht="19.5" customHeight="1" thickBot="1" x14ac:dyDescent="0.35">
      <c r="A120" s="331"/>
      <c r="B120" s="340"/>
      <c r="C120" s="49"/>
      <c r="D120" s="49"/>
      <c r="E120" s="49"/>
      <c r="F120" s="98"/>
      <c r="G120" s="49"/>
      <c r="H120" s="49"/>
      <c r="I120" s="49"/>
    </row>
    <row r="121" spans="1:10" ht="18.75" x14ac:dyDescent="0.3">
      <c r="A121" s="66"/>
      <c r="B121" s="66"/>
      <c r="C121" s="49"/>
      <c r="D121" s="49"/>
      <c r="E121" s="49"/>
      <c r="F121" s="98"/>
      <c r="G121" s="49"/>
      <c r="H121" s="49"/>
      <c r="I121" s="49"/>
    </row>
    <row r="122" spans="1:10" ht="18.75" x14ac:dyDescent="0.3">
      <c r="A122" s="53" t="s">
        <v>101</v>
      </c>
      <c r="B122" s="56" t="s">
        <v>102</v>
      </c>
      <c r="C122" s="346" t="str">
        <f>B20</f>
        <v>RITONAVIR</v>
      </c>
      <c r="D122" s="346"/>
      <c r="E122" s="49" t="s">
        <v>110</v>
      </c>
      <c r="F122" s="49"/>
      <c r="G122" s="143">
        <f>F117</f>
        <v>0.5158419820553396</v>
      </c>
      <c r="H122" s="49"/>
      <c r="I122" s="49"/>
    </row>
    <row r="123" spans="1:10" ht="18.75" x14ac:dyDescent="0.3">
      <c r="A123" s="66"/>
      <c r="B123" s="66"/>
      <c r="C123" s="49"/>
      <c r="D123" s="49"/>
      <c r="E123" s="49"/>
      <c r="F123" s="98"/>
      <c r="G123" s="49"/>
      <c r="H123" s="49"/>
      <c r="I123" s="49"/>
    </row>
    <row r="124" spans="1:10" ht="26.25" customHeight="1" x14ac:dyDescent="0.4">
      <c r="A124" s="52" t="s">
        <v>104</v>
      </c>
      <c r="B124" s="52" t="s">
        <v>105</v>
      </c>
      <c r="D124" s="144">
        <v>90</v>
      </c>
    </row>
    <row r="125" spans="1:10" ht="19.5" customHeight="1" thickBot="1" x14ac:dyDescent="0.35">
      <c r="A125" s="45"/>
      <c r="B125" s="45"/>
      <c r="C125" s="45"/>
      <c r="D125" s="45"/>
      <c r="E125" s="45"/>
    </row>
    <row r="126" spans="1:10" ht="26.25" customHeight="1" x14ac:dyDescent="0.4">
      <c r="A126" s="68" t="s">
        <v>106</v>
      </c>
      <c r="B126" s="69">
        <v>900</v>
      </c>
      <c r="C126" s="145" t="s">
        <v>107</v>
      </c>
      <c r="D126" s="159" t="s">
        <v>58</v>
      </c>
      <c r="E126" s="160" t="s">
        <v>108</v>
      </c>
      <c r="F126" s="161" t="s">
        <v>109</v>
      </c>
    </row>
    <row r="127" spans="1:10" ht="26.25" customHeight="1" x14ac:dyDescent="0.4">
      <c r="A127" s="70" t="s">
        <v>88</v>
      </c>
      <c r="B127" s="71">
        <v>1</v>
      </c>
      <c r="C127" s="162">
        <v>1</v>
      </c>
      <c r="D127" s="163">
        <v>17975781</v>
      </c>
      <c r="E127" s="182">
        <f t="shared" ref="E127:E132" si="3">IF(ISBLANK(D127),"-",D127/$D$105*$D$102*$B$135)</f>
        <v>89.160953638969659</v>
      </c>
      <c r="F127" s="351">
        <f t="shared" ref="F127:F132" si="4">IF(ISBLANK(D127), "-", E127/$B$56)</f>
        <v>0.89160953638969653</v>
      </c>
    </row>
    <row r="128" spans="1:10" ht="26.25" customHeight="1" x14ac:dyDescent="0.4">
      <c r="A128" s="70" t="s">
        <v>90</v>
      </c>
      <c r="B128" s="71">
        <v>1</v>
      </c>
      <c r="C128" s="162">
        <v>2</v>
      </c>
      <c r="D128" s="163">
        <v>18049763</v>
      </c>
      <c r="E128" s="184">
        <f t="shared" si="3"/>
        <v>89.527908803372142</v>
      </c>
      <c r="F128" s="349">
        <f t="shared" si="4"/>
        <v>0.89527908803372147</v>
      </c>
    </row>
    <row r="129" spans="1:10" ht="26.25" customHeight="1" x14ac:dyDescent="0.4">
      <c r="A129" s="70" t="s">
        <v>91</v>
      </c>
      <c r="B129" s="71">
        <v>1</v>
      </c>
      <c r="C129" s="162">
        <v>3</v>
      </c>
      <c r="D129" s="163">
        <v>17898152</v>
      </c>
      <c r="E129" s="184">
        <f t="shared" si="3"/>
        <v>88.77590913547688</v>
      </c>
      <c r="F129" s="349">
        <f t="shared" si="4"/>
        <v>0.88775909135476883</v>
      </c>
    </row>
    <row r="130" spans="1:10" ht="26.25" customHeight="1" x14ac:dyDescent="0.4">
      <c r="A130" s="70" t="s">
        <v>92</v>
      </c>
      <c r="B130" s="71">
        <v>1</v>
      </c>
      <c r="C130" s="162">
        <v>4</v>
      </c>
      <c r="D130" s="163">
        <v>17896477</v>
      </c>
      <c r="E130" s="184">
        <f t="shared" si="3"/>
        <v>88.76760103485276</v>
      </c>
      <c r="F130" s="349">
        <f t="shared" si="4"/>
        <v>0.88767601034852761</v>
      </c>
    </row>
    <row r="131" spans="1:10" ht="26.25" customHeight="1" x14ac:dyDescent="0.4">
      <c r="A131" s="70" t="s">
        <v>93</v>
      </c>
      <c r="B131" s="71">
        <v>1</v>
      </c>
      <c r="C131" s="162">
        <v>5</v>
      </c>
      <c r="D131" s="163">
        <v>17980730</v>
      </c>
      <c r="E131" s="184">
        <f t="shared" si="3"/>
        <v>89.185500976276401</v>
      </c>
      <c r="F131" s="349">
        <f t="shared" si="4"/>
        <v>0.89185500976276399</v>
      </c>
    </row>
    <row r="132" spans="1:10" ht="26.25" customHeight="1" x14ac:dyDescent="0.4">
      <c r="A132" s="70" t="s">
        <v>95</v>
      </c>
      <c r="B132" s="71">
        <v>1</v>
      </c>
      <c r="C132" s="168">
        <v>6</v>
      </c>
      <c r="D132" s="169">
        <v>17932977</v>
      </c>
      <c r="E132" s="186">
        <f t="shared" si="3"/>
        <v>88.948643227557625</v>
      </c>
      <c r="F132" s="352">
        <f t="shared" si="4"/>
        <v>0.88948643227557622</v>
      </c>
    </row>
    <row r="133" spans="1:10" ht="26.25" customHeight="1" x14ac:dyDescent="0.4">
      <c r="A133" s="70" t="s">
        <v>96</v>
      </c>
      <c r="B133" s="71">
        <v>1</v>
      </c>
      <c r="C133" s="162"/>
      <c r="D133" s="98"/>
      <c r="E133" s="49"/>
      <c r="F133" s="349"/>
    </row>
    <row r="134" spans="1:10" ht="26.25" customHeight="1" x14ac:dyDescent="0.4">
      <c r="A134" s="70" t="s">
        <v>97</v>
      </c>
      <c r="B134" s="71">
        <v>1</v>
      </c>
      <c r="C134" s="162"/>
      <c r="D134" s="173"/>
      <c r="E134" s="174" t="s">
        <v>65</v>
      </c>
      <c r="F134" s="353">
        <f>AVERAGE(F127:F132)</f>
        <v>0.89061086136084244</v>
      </c>
    </row>
    <row r="135" spans="1:10" ht="27" customHeight="1" thickBot="1" x14ac:dyDescent="0.45">
      <c r="A135" s="70" t="s">
        <v>98</v>
      </c>
      <c r="B135" s="71">
        <f>(B134/B133)*(B132/B131)*(B130/B129)*(B128/B127)*B126</f>
        <v>900</v>
      </c>
      <c r="C135" s="176"/>
      <c r="D135" s="177"/>
      <c r="E135" s="56" t="s">
        <v>78</v>
      </c>
      <c r="F135" s="189">
        <f>STDEV(F127:F132)/F134</f>
        <v>3.2677050645680125E-3</v>
      </c>
      <c r="I135" s="49"/>
    </row>
    <row r="136" spans="1:10" ht="27" customHeight="1" thickBot="1" x14ac:dyDescent="0.45">
      <c r="A136" s="329" t="s">
        <v>72</v>
      </c>
      <c r="B136" s="339"/>
      <c r="C136" s="179"/>
      <c r="D136" s="180"/>
      <c r="E136" s="181" t="s">
        <v>15</v>
      </c>
      <c r="F136" s="190">
        <f>COUNT(F127:F132)</f>
        <v>6</v>
      </c>
      <c r="I136" s="49"/>
      <c r="J136" s="156"/>
    </row>
    <row r="137" spans="1:10" ht="19.5" customHeight="1" thickBot="1" x14ac:dyDescent="0.35">
      <c r="A137" s="331"/>
      <c r="B137" s="340"/>
      <c r="C137" s="49"/>
      <c r="D137" s="49"/>
      <c r="E137" s="49"/>
      <c r="F137" s="98"/>
      <c r="G137" s="49"/>
      <c r="H137" s="49"/>
      <c r="I137" s="49"/>
    </row>
    <row r="138" spans="1:10" ht="18.75" x14ac:dyDescent="0.3">
      <c r="A138" s="66"/>
      <c r="B138" s="66"/>
      <c r="C138" s="49"/>
      <c r="D138" s="49"/>
      <c r="E138" s="49"/>
      <c r="F138" s="98"/>
      <c r="G138" s="49"/>
      <c r="H138" s="49"/>
      <c r="I138" s="49"/>
    </row>
    <row r="139" spans="1:10" ht="26.25" customHeight="1" x14ac:dyDescent="0.4">
      <c r="A139" s="53" t="s">
        <v>101</v>
      </c>
      <c r="B139" s="56" t="s">
        <v>102</v>
      </c>
      <c r="C139" s="346" t="str">
        <f>B20</f>
        <v>RITONAVIR</v>
      </c>
      <c r="D139" s="346"/>
      <c r="E139" s="49" t="s">
        <v>110</v>
      </c>
      <c r="F139" s="49"/>
      <c r="G139" s="191">
        <f>F134</f>
        <v>0.89061086136084244</v>
      </c>
      <c r="H139" s="49"/>
      <c r="I139" s="49"/>
    </row>
    <row r="140" spans="1:10" ht="18.75" x14ac:dyDescent="0.3">
      <c r="A140" s="53"/>
      <c r="B140" s="56"/>
      <c r="C140" s="59"/>
      <c r="D140" s="59"/>
      <c r="E140" s="49"/>
      <c r="F140" s="49"/>
      <c r="G140" s="143"/>
      <c r="H140" s="49"/>
      <c r="I140" s="49"/>
    </row>
    <row r="141" spans="1:10" ht="26.25" customHeight="1" x14ac:dyDescent="0.4">
      <c r="A141" s="52" t="s">
        <v>104</v>
      </c>
      <c r="B141" s="52" t="s">
        <v>105</v>
      </c>
      <c r="D141" s="144"/>
      <c r="H141" s="49"/>
      <c r="I141" s="49"/>
    </row>
    <row r="142" spans="1:10" ht="19.5" customHeight="1" thickBot="1" x14ac:dyDescent="0.35">
      <c r="A142" s="45"/>
      <c r="B142" s="45"/>
      <c r="C142" s="45"/>
      <c r="D142" s="45"/>
      <c r="E142" s="45"/>
      <c r="H142" s="49"/>
      <c r="I142" s="49"/>
    </row>
    <row r="143" spans="1:10" ht="26.25" customHeight="1" x14ac:dyDescent="0.4">
      <c r="A143" s="68" t="s">
        <v>106</v>
      </c>
      <c r="B143" s="69"/>
      <c r="C143" s="145" t="s">
        <v>107</v>
      </c>
      <c r="D143" s="159" t="s">
        <v>58</v>
      </c>
      <c r="E143" s="160" t="s">
        <v>108</v>
      </c>
      <c r="F143" s="161" t="s">
        <v>109</v>
      </c>
      <c r="H143" s="49"/>
      <c r="I143" s="49"/>
    </row>
    <row r="144" spans="1:10" ht="26.25" customHeight="1" x14ac:dyDescent="0.4">
      <c r="A144" s="70" t="s">
        <v>88</v>
      </c>
      <c r="B144" s="71">
        <v>1</v>
      </c>
      <c r="C144" s="162">
        <v>1</v>
      </c>
      <c r="D144" s="163"/>
      <c r="E144" s="182" t="str">
        <f t="shared" ref="E144:E149" si="5">IF(ISBLANK(D144),"-",D144/$D$105*$D$102*$B$152)</f>
        <v>-</v>
      </c>
      <c r="F144" s="183" t="str">
        <f t="shared" ref="F144:F149" si="6">IF(ISBLANK(D144), "-", E144/$B$56)</f>
        <v>-</v>
      </c>
      <c r="H144" s="49"/>
      <c r="I144" s="49"/>
    </row>
    <row r="145" spans="1:9" ht="26.25" customHeight="1" x14ac:dyDescent="0.4">
      <c r="A145" s="70" t="s">
        <v>90</v>
      </c>
      <c r="B145" s="71">
        <v>1</v>
      </c>
      <c r="C145" s="162">
        <v>2</v>
      </c>
      <c r="D145" s="163"/>
      <c r="E145" s="184" t="str">
        <f t="shared" si="5"/>
        <v>-</v>
      </c>
      <c r="F145" s="185" t="str">
        <f t="shared" si="6"/>
        <v>-</v>
      </c>
      <c r="H145" s="49"/>
      <c r="I145" s="49"/>
    </row>
    <row r="146" spans="1:9" ht="26.25" customHeight="1" x14ac:dyDescent="0.4">
      <c r="A146" s="70" t="s">
        <v>91</v>
      </c>
      <c r="B146" s="71">
        <v>1</v>
      </c>
      <c r="C146" s="162">
        <v>3</v>
      </c>
      <c r="D146" s="163"/>
      <c r="E146" s="184" t="str">
        <f t="shared" si="5"/>
        <v>-</v>
      </c>
      <c r="F146" s="185" t="str">
        <f t="shared" si="6"/>
        <v>-</v>
      </c>
      <c r="H146" s="49"/>
      <c r="I146" s="49"/>
    </row>
    <row r="147" spans="1:9" ht="26.25" customHeight="1" x14ac:dyDescent="0.4">
      <c r="A147" s="70" t="s">
        <v>92</v>
      </c>
      <c r="B147" s="71">
        <v>1</v>
      </c>
      <c r="C147" s="162">
        <v>4</v>
      </c>
      <c r="D147" s="163"/>
      <c r="E147" s="184" t="str">
        <f t="shared" si="5"/>
        <v>-</v>
      </c>
      <c r="F147" s="185" t="str">
        <f t="shared" si="6"/>
        <v>-</v>
      </c>
      <c r="H147" s="49"/>
      <c r="I147" s="49"/>
    </row>
    <row r="148" spans="1:9" ht="26.25" customHeight="1" x14ac:dyDescent="0.4">
      <c r="A148" s="70" t="s">
        <v>93</v>
      </c>
      <c r="B148" s="71">
        <v>1</v>
      </c>
      <c r="C148" s="162">
        <v>5</v>
      </c>
      <c r="D148" s="163"/>
      <c r="E148" s="184" t="str">
        <f t="shared" si="5"/>
        <v>-</v>
      </c>
      <c r="F148" s="185" t="str">
        <f t="shared" si="6"/>
        <v>-</v>
      </c>
      <c r="H148" s="49"/>
      <c r="I148" s="49"/>
    </row>
    <row r="149" spans="1:9" ht="26.25" customHeight="1" x14ac:dyDescent="0.4">
      <c r="A149" s="70" t="s">
        <v>95</v>
      </c>
      <c r="B149" s="71">
        <v>1</v>
      </c>
      <c r="C149" s="168">
        <v>6</v>
      </c>
      <c r="D149" s="169"/>
      <c r="E149" s="186" t="str">
        <f t="shared" si="5"/>
        <v>-</v>
      </c>
      <c r="F149" s="187" t="str">
        <f t="shared" si="6"/>
        <v>-</v>
      </c>
      <c r="H149" s="49"/>
      <c r="I149" s="49"/>
    </row>
    <row r="150" spans="1:9" ht="26.25" customHeight="1" x14ac:dyDescent="0.4">
      <c r="A150" s="70" t="s">
        <v>96</v>
      </c>
      <c r="B150" s="71">
        <v>1</v>
      </c>
      <c r="C150" s="162"/>
      <c r="D150" s="98"/>
      <c r="E150" s="49"/>
      <c r="F150" s="172"/>
      <c r="H150" s="49"/>
      <c r="I150" s="49"/>
    </row>
    <row r="151" spans="1:9" ht="26.25" customHeight="1" x14ac:dyDescent="0.4">
      <c r="A151" s="70" t="s">
        <v>97</v>
      </c>
      <c r="B151" s="71">
        <v>1</v>
      </c>
      <c r="C151" s="162"/>
      <c r="D151" s="173"/>
      <c r="E151" s="174" t="s">
        <v>65</v>
      </c>
      <c r="F151" s="188" t="e">
        <f>AVERAGE(F144:F149)</f>
        <v>#DIV/0!</v>
      </c>
      <c r="H151" s="49"/>
      <c r="I151" s="49"/>
    </row>
    <row r="152" spans="1:9" ht="27" customHeight="1" thickBot="1" x14ac:dyDescent="0.45">
      <c r="A152" s="70" t="s">
        <v>98</v>
      </c>
      <c r="B152" s="71">
        <f>(B151/B150)*(B149/B148)*(B147/B146)*(B145/B144)*B143</f>
        <v>0</v>
      </c>
      <c r="C152" s="176"/>
      <c r="D152" s="177"/>
      <c r="E152" s="56" t="s">
        <v>78</v>
      </c>
      <c r="F152" s="189" t="e">
        <f>STDEV(F144:F149)/F151</f>
        <v>#DIV/0!</v>
      </c>
      <c r="H152" s="49"/>
      <c r="I152" s="49"/>
    </row>
    <row r="153" spans="1:9" ht="27" customHeight="1" thickBot="1" x14ac:dyDescent="0.45">
      <c r="A153" s="329" t="s">
        <v>72</v>
      </c>
      <c r="B153" s="339"/>
      <c r="C153" s="179"/>
      <c r="D153" s="180"/>
      <c r="E153" s="181" t="s">
        <v>15</v>
      </c>
      <c r="F153" s="190">
        <f>COUNT(F144:F149)</f>
        <v>0</v>
      </c>
      <c r="H153" s="49"/>
      <c r="I153" s="49"/>
    </row>
    <row r="154" spans="1:9" ht="19.5" customHeight="1" thickBot="1" x14ac:dyDescent="0.35">
      <c r="A154" s="331"/>
      <c r="B154" s="340"/>
      <c r="C154" s="49"/>
      <c r="D154" s="49"/>
      <c r="E154" s="49"/>
      <c r="F154" s="98"/>
      <c r="G154" s="49"/>
      <c r="H154" s="49"/>
      <c r="I154" s="49"/>
    </row>
    <row r="155" spans="1:9" ht="18.75" x14ac:dyDescent="0.3">
      <c r="A155" s="66"/>
      <c r="B155" s="66"/>
      <c r="C155" s="49"/>
      <c r="D155" s="49"/>
      <c r="E155" s="49"/>
      <c r="F155" s="98"/>
      <c r="G155" s="49"/>
      <c r="H155" s="49"/>
      <c r="I155" s="49"/>
    </row>
    <row r="156" spans="1:9" ht="26.25" customHeight="1" x14ac:dyDescent="0.4">
      <c r="A156" s="53" t="s">
        <v>101</v>
      </c>
      <c r="B156" s="56" t="s">
        <v>102</v>
      </c>
      <c r="C156" s="346" t="str">
        <f>B20</f>
        <v>RITONAVIR</v>
      </c>
      <c r="D156" s="346"/>
      <c r="E156" s="49" t="s">
        <v>110</v>
      </c>
      <c r="F156" s="49"/>
      <c r="G156" s="191" t="e">
        <f>F151</f>
        <v>#DIV/0!</v>
      </c>
      <c r="H156" s="49"/>
      <c r="I156" s="49"/>
    </row>
    <row r="157" spans="1:9" ht="18.75" x14ac:dyDescent="0.3">
      <c r="A157" s="53"/>
      <c r="B157" s="56"/>
      <c r="C157" s="59"/>
      <c r="D157" s="59"/>
      <c r="E157" s="49"/>
      <c r="F157" s="49"/>
      <c r="G157" s="143"/>
      <c r="H157" s="49"/>
      <c r="I157" s="49"/>
    </row>
    <row r="158" spans="1:9" ht="26.25" customHeight="1" x14ac:dyDescent="0.4">
      <c r="A158" s="52" t="s">
        <v>104</v>
      </c>
      <c r="B158" s="52" t="s">
        <v>105</v>
      </c>
      <c r="D158" s="144" t="s">
        <v>111</v>
      </c>
      <c r="H158" s="49"/>
      <c r="I158" s="49"/>
    </row>
    <row r="159" spans="1:9" ht="19.5" customHeight="1" thickBot="1" x14ac:dyDescent="0.35">
      <c r="A159" s="45"/>
      <c r="B159" s="45"/>
      <c r="C159" s="45"/>
      <c r="D159" s="45"/>
      <c r="E159" s="45"/>
      <c r="H159" s="49"/>
      <c r="I159" s="49"/>
    </row>
    <row r="160" spans="1:9" ht="26.25" customHeight="1" x14ac:dyDescent="0.4">
      <c r="A160" s="68" t="s">
        <v>106</v>
      </c>
      <c r="B160" s="69">
        <v>1</v>
      </c>
      <c r="C160" s="145" t="s">
        <v>107</v>
      </c>
      <c r="D160" s="159" t="s">
        <v>58</v>
      </c>
      <c r="E160" s="160" t="s">
        <v>108</v>
      </c>
      <c r="F160" s="161" t="s">
        <v>109</v>
      </c>
      <c r="H160" s="49"/>
      <c r="I160" s="49"/>
    </row>
    <row r="161" spans="1:9" ht="26.25" customHeight="1" x14ac:dyDescent="0.4">
      <c r="A161" s="70" t="s">
        <v>88</v>
      </c>
      <c r="B161" s="71">
        <v>1</v>
      </c>
      <c r="C161" s="162">
        <v>1</v>
      </c>
      <c r="D161" s="163"/>
      <c r="E161" s="182" t="str">
        <f t="shared" ref="E161:E166" si="7">IF(ISBLANK(D161),"-",D161/$D$105*$D$102*$B$169)</f>
        <v>-</v>
      </c>
      <c r="F161" s="183" t="str">
        <f t="shared" ref="F161:F166" si="8">IF(ISBLANK(D161), "-", E161/$B$56)</f>
        <v>-</v>
      </c>
      <c r="H161" s="49"/>
      <c r="I161" s="49"/>
    </row>
    <row r="162" spans="1:9" ht="26.25" customHeight="1" x14ac:dyDescent="0.4">
      <c r="A162" s="70" t="s">
        <v>90</v>
      </c>
      <c r="B162" s="71">
        <v>1</v>
      </c>
      <c r="C162" s="162">
        <v>2</v>
      </c>
      <c r="D162" s="163"/>
      <c r="E162" s="184" t="str">
        <f t="shared" si="7"/>
        <v>-</v>
      </c>
      <c r="F162" s="185" t="str">
        <f t="shared" si="8"/>
        <v>-</v>
      </c>
      <c r="H162" s="49"/>
      <c r="I162" s="49"/>
    </row>
    <row r="163" spans="1:9" ht="26.25" customHeight="1" x14ac:dyDescent="0.4">
      <c r="A163" s="70" t="s">
        <v>91</v>
      </c>
      <c r="B163" s="71">
        <v>1</v>
      </c>
      <c r="C163" s="162">
        <v>3</v>
      </c>
      <c r="D163" s="163"/>
      <c r="E163" s="184" t="str">
        <f t="shared" si="7"/>
        <v>-</v>
      </c>
      <c r="F163" s="185" t="str">
        <f t="shared" si="8"/>
        <v>-</v>
      </c>
      <c r="H163" s="49"/>
      <c r="I163" s="49"/>
    </row>
    <row r="164" spans="1:9" ht="26.25" customHeight="1" x14ac:dyDescent="0.4">
      <c r="A164" s="70" t="s">
        <v>92</v>
      </c>
      <c r="B164" s="71">
        <v>1</v>
      </c>
      <c r="C164" s="162">
        <v>4</v>
      </c>
      <c r="D164" s="163"/>
      <c r="E164" s="184" t="str">
        <f t="shared" si="7"/>
        <v>-</v>
      </c>
      <c r="F164" s="185" t="str">
        <f t="shared" si="8"/>
        <v>-</v>
      </c>
      <c r="H164" s="49"/>
      <c r="I164" s="49"/>
    </row>
    <row r="165" spans="1:9" ht="26.25" customHeight="1" x14ac:dyDescent="0.4">
      <c r="A165" s="70" t="s">
        <v>93</v>
      </c>
      <c r="B165" s="71">
        <v>1</v>
      </c>
      <c r="C165" s="162">
        <v>5</v>
      </c>
      <c r="D165" s="163"/>
      <c r="E165" s="184" t="str">
        <f t="shared" si="7"/>
        <v>-</v>
      </c>
      <c r="F165" s="185" t="str">
        <f t="shared" si="8"/>
        <v>-</v>
      </c>
      <c r="H165" s="49"/>
      <c r="I165" s="49"/>
    </row>
    <row r="166" spans="1:9" ht="26.25" customHeight="1" x14ac:dyDescent="0.4">
      <c r="A166" s="70" t="s">
        <v>95</v>
      </c>
      <c r="B166" s="71">
        <v>1</v>
      </c>
      <c r="C166" s="168">
        <v>6</v>
      </c>
      <c r="D166" s="169"/>
      <c r="E166" s="186" t="str">
        <f t="shared" si="7"/>
        <v>-</v>
      </c>
      <c r="F166" s="187" t="str">
        <f t="shared" si="8"/>
        <v>-</v>
      </c>
      <c r="H166" s="49"/>
      <c r="I166" s="49"/>
    </row>
    <row r="167" spans="1:9" ht="26.25" customHeight="1" x14ac:dyDescent="0.4">
      <c r="A167" s="70" t="s">
        <v>96</v>
      </c>
      <c r="B167" s="71">
        <v>1</v>
      </c>
      <c r="C167" s="162"/>
      <c r="D167" s="98"/>
      <c r="E167" s="49"/>
      <c r="F167" s="172"/>
      <c r="H167" s="49"/>
      <c r="I167" s="49"/>
    </row>
    <row r="168" spans="1:9" ht="26.25" customHeight="1" x14ac:dyDescent="0.4">
      <c r="A168" s="70" t="s">
        <v>97</v>
      </c>
      <c r="B168" s="71">
        <v>1</v>
      </c>
      <c r="C168" s="162"/>
      <c r="D168" s="173"/>
      <c r="E168" s="174" t="s">
        <v>65</v>
      </c>
      <c r="F168" s="188" t="e">
        <f>AVERAGE(F161:F166)</f>
        <v>#DIV/0!</v>
      </c>
      <c r="H168" s="49"/>
      <c r="I168" s="49"/>
    </row>
    <row r="169" spans="1:9" ht="27" customHeight="1" thickBot="1" x14ac:dyDescent="0.45">
      <c r="A169" s="70" t="s">
        <v>98</v>
      </c>
      <c r="B169" s="71">
        <f>(B168/B167)*(B166/B165)*(B164/B163)*(B162/B161)*B160</f>
        <v>1</v>
      </c>
      <c r="C169" s="176"/>
      <c r="D169" s="177"/>
      <c r="E169" s="56" t="s">
        <v>78</v>
      </c>
      <c r="F169" s="189" t="e">
        <f>STDEV(F161:F166)/F168</f>
        <v>#DIV/0!</v>
      </c>
      <c r="H169" s="49"/>
      <c r="I169" s="49"/>
    </row>
    <row r="170" spans="1:9" ht="27" customHeight="1" thickBot="1" x14ac:dyDescent="0.45">
      <c r="A170" s="329" t="s">
        <v>72</v>
      </c>
      <c r="B170" s="339"/>
      <c r="C170" s="179"/>
      <c r="D170" s="180"/>
      <c r="E170" s="181" t="s">
        <v>15</v>
      </c>
      <c r="F170" s="190">
        <f>COUNT(F161:F166)</f>
        <v>0</v>
      </c>
      <c r="H170" s="49"/>
      <c r="I170" s="49"/>
    </row>
    <row r="171" spans="1:9" ht="19.5" customHeight="1" thickBot="1" x14ac:dyDescent="0.35">
      <c r="A171" s="331"/>
      <c r="B171" s="340"/>
      <c r="C171" s="49"/>
      <c r="D171" s="49"/>
      <c r="E171" s="49"/>
      <c r="F171" s="98"/>
      <c r="G171" s="49"/>
      <c r="H171" s="49"/>
      <c r="I171" s="49"/>
    </row>
    <row r="172" spans="1:9" ht="18.75" x14ac:dyDescent="0.3">
      <c r="A172" s="66"/>
      <c r="B172" s="66"/>
      <c r="C172" s="49"/>
      <c r="D172" s="49"/>
      <c r="E172" s="49"/>
      <c r="F172" s="98"/>
      <c r="G172" s="49"/>
      <c r="H172" s="49"/>
      <c r="I172" s="49"/>
    </row>
    <row r="173" spans="1:9" ht="26.25" customHeight="1" x14ac:dyDescent="0.4">
      <c r="A173" s="53" t="s">
        <v>101</v>
      </c>
      <c r="B173" s="56" t="s">
        <v>102</v>
      </c>
      <c r="C173" s="346" t="str">
        <f>B20</f>
        <v>RITONAVIR</v>
      </c>
      <c r="D173" s="346"/>
      <c r="E173" s="49" t="s">
        <v>110</v>
      </c>
      <c r="F173" s="49"/>
      <c r="G173" s="191" t="e">
        <f>F168</f>
        <v>#DIV/0!</v>
      </c>
      <c r="H173" s="49"/>
      <c r="I173" s="49"/>
    </row>
    <row r="174" spans="1:9" ht="18.75" x14ac:dyDescent="0.3">
      <c r="A174" s="53"/>
      <c r="B174" s="56"/>
      <c r="C174" s="59"/>
      <c r="D174" s="59"/>
      <c r="E174" s="49"/>
      <c r="F174" s="49"/>
      <c r="G174" s="143"/>
      <c r="H174" s="49"/>
      <c r="I174" s="49"/>
    </row>
    <row r="175" spans="1:9" ht="19.5" customHeight="1" thickBot="1" x14ac:dyDescent="0.35">
      <c r="A175" s="192"/>
      <c r="B175" s="192"/>
      <c r="C175" s="193"/>
      <c r="D175" s="193"/>
      <c r="E175" s="193"/>
      <c r="F175" s="193"/>
      <c r="G175" s="193"/>
      <c r="H175" s="193"/>
    </row>
    <row r="176" spans="1:9" ht="18.75" x14ac:dyDescent="0.3">
      <c r="B176" s="347" t="s">
        <v>21</v>
      </c>
      <c r="C176" s="347"/>
      <c r="E176" s="147" t="s">
        <v>22</v>
      </c>
      <c r="F176" s="194"/>
      <c r="G176" s="347" t="s">
        <v>23</v>
      </c>
      <c r="H176" s="347"/>
    </row>
    <row r="177" spans="1:9" ht="83.1" customHeight="1" x14ac:dyDescent="0.3">
      <c r="A177" s="53" t="s">
        <v>24</v>
      </c>
      <c r="B177" s="195"/>
      <c r="C177" s="195"/>
      <c r="E177" s="196"/>
      <c r="F177" s="49"/>
      <c r="G177" s="196"/>
      <c r="H177" s="196"/>
    </row>
    <row r="178" spans="1:9" ht="83.1" customHeight="1" x14ac:dyDescent="0.3">
      <c r="A178" s="53" t="s">
        <v>25</v>
      </c>
      <c r="B178" s="197"/>
      <c r="C178" s="197"/>
      <c r="E178" s="198"/>
      <c r="F178" s="49"/>
      <c r="G178" s="199"/>
      <c r="H178" s="199"/>
    </row>
    <row r="179" spans="1:9" ht="18.75" x14ac:dyDescent="0.3">
      <c r="A179" s="98"/>
      <c r="B179" s="98"/>
      <c r="C179" s="98"/>
      <c r="D179" s="98"/>
      <c r="E179" s="98"/>
      <c r="F179" s="101"/>
      <c r="G179" s="98"/>
      <c r="H179" s="98"/>
      <c r="I179" s="49"/>
    </row>
    <row r="180" spans="1:9" ht="18.75" x14ac:dyDescent="0.3">
      <c r="A180" s="98"/>
      <c r="B180" s="98"/>
      <c r="C180" s="98"/>
      <c r="D180" s="98"/>
      <c r="E180" s="98"/>
      <c r="F180" s="101"/>
      <c r="G180" s="98"/>
      <c r="H180" s="98"/>
      <c r="I180" s="49"/>
    </row>
    <row r="181" spans="1:9" ht="18.75" x14ac:dyDescent="0.3">
      <c r="A181" s="98"/>
      <c r="B181" s="98"/>
      <c r="C181" s="98"/>
      <c r="D181" s="98"/>
      <c r="E181" s="98"/>
      <c r="F181" s="101"/>
      <c r="G181" s="98"/>
      <c r="H181" s="98"/>
      <c r="I181" s="49"/>
    </row>
    <row r="182" spans="1:9" ht="18.75" x14ac:dyDescent="0.3">
      <c r="A182" s="98"/>
      <c r="B182" s="98"/>
      <c r="C182" s="98"/>
      <c r="D182" s="98"/>
      <c r="E182" s="98"/>
      <c r="F182" s="101"/>
      <c r="G182" s="98"/>
      <c r="H182" s="98"/>
      <c r="I182" s="49"/>
    </row>
    <row r="183" spans="1:9" ht="18.75" x14ac:dyDescent="0.3">
      <c r="A183" s="98"/>
      <c r="B183" s="98"/>
      <c r="C183" s="98"/>
      <c r="D183" s="98"/>
      <c r="E183" s="98"/>
      <c r="F183" s="101"/>
      <c r="G183" s="98"/>
      <c r="H183" s="98"/>
      <c r="I183" s="49"/>
    </row>
    <row r="184" spans="1:9" ht="18.75" x14ac:dyDescent="0.3">
      <c r="A184" s="98"/>
      <c r="B184" s="98"/>
      <c r="C184" s="98"/>
      <c r="D184" s="98"/>
      <c r="E184" s="98"/>
      <c r="F184" s="101"/>
      <c r="G184" s="98"/>
      <c r="H184" s="98"/>
      <c r="I184" s="49"/>
    </row>
    <row r="185" spans="1:9" ht="18.75" x14ac:dyDescent="0.3">
      <c r="A185" s="98"/>
      <c r="B185" s="98"/>
      <c r="C185" s="98"/>
      <c r="D185" s="98"/>
      <c r="E185" s="98"/>
      <c r="F185" s="101"/>
      <c r="G185" s="98"/>
      <c r="H185" s="98"/>
      <c r="I185" s="49"/>
    </row>
    <row r="186" spans="1:9" ht="18.75" x14ac:dyDescent="0.3">
      <c r="A186" s="98"/>
      <c r="B186" s="98"/>
      <c r="C186" s="98"/>
      <c r="D186" s="98"/>
      <c r="E186" s="98"/>
      <c r="F186" s="101"/>
      <c r="G186" s="98"/>
      <c r="H186" s="98"/>
      <c r="I186" s="49"/>
    </row>
    <row r="187" spans="1:9" ht="18.75" x14ac:dyDescent="0.3">
      <c r="A187" s="98"/>
      <c r="B187" s="98"/>
      <c r="C187" s="98"/>
      <c r="D187" s="98"/>
      <c r="E187" s="98"/>
      <c r="F187" s="101"/>
      <c r="G187" s="98"/>
      <c r="H187" s="98"/>
      <c r="I187" s="49"/>
    </row>
    <row r="250" spans="1:1" x14ac:dyDescent="0.25">
      <c r="A250" s="2">
        <v>0</v>
      </c>
    </row>
  </sheetData>
  <sheetProtection password="F258" sheet="1" objects="1" scenarios="1" formatCells="0" formatColumns="0"/>
  <mergeCells count="33">
    <mergeCell ref="C173:D173"/>
    <mergeCell ref="B176:C176"/>
    <mergeCell ref="G176:H176"/>
    <mergeCell ref="C122:D122"/>
    <mergeCell ref="A136:B137"/>
    <mergeCell ref="C139:D139"/>
    <mergeCell ref="A153:B154"/>
    <mergeCell ref="C156:D156"/>
    <mergeCell ref="A170:B171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32:H32"/>
    <mergeCell ref="D36:E36"/>
    <mergeCell ref="F36:G36"/>
    <mergeCell ref="A46:B47"/>
    <mergeCell ref="C60:C63"/>
    <mergeCell ref="D60:D63"/>
    <mergeCell ref="C31:H31"/>
    <mergeCell ref="A1:H7"/>
    <mergeCell ref="A8:H14"/>
    <mergeCell ref="A16:H16"/>
    <mergeCell ref="B18:C18"/>
    <mergeCell ref="C29:G29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ATAZANAVIR SST</vt:lpstr>
      <vt:lpstr>RITONAVIR SST</vt:lpstr>
      <vt:lpstr>Uniformity</vt:lpstr>
      <vt:lpstr>Atazanavir</vt:lpstr>
      <vt:lpstr>Ritonavir</vt:lpstr>
      <vt:lpstr>Atazanavir!Print_Area</vt:lpstr>
      <vt:lpstr>'ATAZANAVIR SST'!Print_Area</vt:lpstr>
      <vt:lpstr>Ritonavir!Print_Area</vt:lpstr>
      <vt:lpstr>'RITONAVIR SST'!Print_Area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2017-02-23T06:07:14Z</cp:lastPrinted>
  <dcterms:created xsi:type="dcterms:W3CDTF">2005-07-05T10:19:27Z</dcterms:created>
  <dcterms:modified xsi:type="dcterms:W3CDTF">2017-03-21T07:05:52Z</dcterms:modified>
</cp:coreProperties>
</file>