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firstSheet="1" activeTab="5"/>
  </bookViews>
  <sheets>
    <sheet name="ATAZANAVIR SST" sheetId="11" r:id="rId1"/>
    <sheet name="RITONAVIR SST" sheetId="12" r:id="rId2"/>
    <sheet name="Uniformity" sheetId="13" r:id="rId3"/>
    <sheet name="Atazanavir" sheetId="6" r:id="rId4"/>
    <sheet name="Ritonavir" sheetId="7" r:id="rId5"/>
    <sheet name="RITONAVIR SST (2)" sheetId="17" r:id="rId6"/>
    <sheet name="Ritonavir S2 DISSOLUTION" sheetId="16" r:id="rId7"/>
  </sheets>
  <definedNames>
    <definedName name="_xlnm.Print_Area" localSheetId="3">Atazanavir!$A$1:$H$178</definedName>
    <definedName name="_xlnm.Print_Area" localSheetId="0">'ATAZANAVIR SST'!$A$15:$G$61</definedName>
    <definedName name="_xlnm.Print_Area" localSheetId="4">Ritonavir!$A$1:$H$178</definedName>
    <definedName name="_xlnm.Print_Area" localSheetId="6">'Ritonavir S2 DISSOLUTION'!$A$1:$H$172</definedName>
    <definedName name="_xlnm.Print_Area" localSheetId="1">'RITONAVIR SST'!$A$15:$H$61</definedName>
    <definedName name="_xlnm.Print_Area" localSheetId="5">'RITONAVIR SST (2)'!$A$15:$H$61</definedName>
    <definedName name="_xlnm.Print_Area" localSheetId="2">Uniformity!$A$12:$K$54</definedName>
  </definedNames>
  <calcPr calcId="145621"/>
  <fileRecoveryPr repairLoad="1"/>
</workbook>
</file>

<file path=xl/calcChain.xml><?xml version="1.0" encoding="utf-8"?>
<calcChain xmlns="http://schemas.openxmlformats.org/spreadsheetml/2006/main">
  <c r="B42" i="17" l="1"/>
  <c r="B41" i="17"/>
  <c r="B53" i="17"/>
  <c r="F51" i="17"/>
  <c r="D51" i="17"/>
  <c r="C51" i="17"/>
  <c r="B51" i="17"/>
  <c r="B52" i="17" s="1"/>
  <c r="B32" i="17"/>
  <c r="F30" i="17"/>
  <c r="D30" i="17"/>
  <c r="C30" i="17"/>
  <c r="B30" i="17"/>
  <c r="B31" i="17" s="1"/>
  <c r="B21" i="17"/>
  <c r="B57" i="16" l="1"/>
  <c r="C168" i="16"/>
  <c r="B159" i="16"/>
  <c r="D143" i="16" s="1"/>
  <c r="B141" i="16"/>
  <c r="F140" i="16"/>
  <c r="F138" i="16"/>
  <c r="D138" i="16"/>
  <c r="G137" i="16"/>
  <c r="E137" i="16"/>
  <c r="B130" i="16"/>
  <c r="D140" i="16" s="1"/>
  <c r="D141" i="16" s="1"/>
  <c r="B126" i="16"/>
  <c r="B125" i="16"/>
  <c r="B116" i="16"/>
  <c r="D100" i="16" s="1"/>
  <c r="B98" i="16"/>
  <c r="F97" i="16"/>
  <c r="F98" i="16" s="1"/>
  <c r="F95" i="16"/>
  <c r="D95" i="16"/>
  <c r="G94" i="16"/>
  <c r="E94" i="16"/>
  <c r="B87" i="16"/>
  <c r="D97" i="16" s="1"/>
  <c r="B83" i="16"/>
  <c r="B82" i="16"/>
  <c r="C76" i="16"/>
  <c r="H71" i="16"/>
  <c r="G71" i="16"/>
  <c r="B68" i="16"/>
  <c r="H67" i="16"/>
  <c r="G67" i="16"/>
  <c r="H63" i="16"/>
  <c r="G63" i="16"/>
  <c r="C56" i="16"/>
  <c r="B55" i="16"/>
  <c r="B45" i="16"/>
  <c r="D48" i="16" s="1"/>
  <c r="D49" i="16" s="1"/>
  <c r="F44" i="16"/>
  <c r="F45" i="16" s="1"/>
  <c r="D44" i="16"/>
  <c r="F42" i="16"/>
  <c r="D42" i="16"/>
  <c r="G41" i="16"/>
  <c r="E41" i="16"/>
  <c r="B34" i="16"/>
  <c r="B30" i="16"/>
  <c r="D45" i="16" l="1"/>
  <c r="E39" i="16" s="1"/>
  <c r="B69" i="16"/>
  <c r="F99" i="16"/>
  <c r="D101" i="16"/>
  <c r="D102" i="16" s="1"/>
  <c r="D98" i="16"/>
  <c r="D99" i="16" s="1"/>
  <c r="D144" i="16"/>
  <c r="D145" i="16" s="1"/>
  <c r="D142" i="16"/>
  <c r="F141" i="16"/>
  <c r="F142" i="16" s="1"/>
  <c r="E40" i="16"/>
  <c r="E38" i="16"/>
  <c r="G38" i="16"/>
  <c r="G39" i="16"/>
  <c r="G40" i="16"/>
  <c r="F46" i="16"/>
  <c r="D46" i="16" l="1"/>
  <c r="G92" i="16"/>
  <c r="G95" i="16" s="1"/>
  <c r="E91" i="16"/>
  <c r="G91" i="16"/>
  <c r="G93" i="16"/>
  <c r="E93" i="16"/>
  <c r="E92" i="16"/>
  <c r="E134" i="16"/>
  <c r="G135" i="16"/>
  <c r="E136" i="16"/>
  <c r="E135" i="16"/>
  <c r="G136" i="16"/>
  <c r="G134" i="16"/>
  <c r="D52" i="16"/>
  <c r="D50" i="16"/>
  <c r="E42" i="16"/>
  <c r="G42" i="16"/>
  <c r="E138" i="16" l="1"/>
  <c r="E95" i="16"/>
  <c r="D105" i="16"/>
  <c r="D103" i="16"/>
  <c r="E110" i="16" s="1"/>
  <c r="F110" i="16" s="1"/>
  <c r="G138" i="16"/>
  <c r="D146" i="16"/>
  <c r="E156" i="16" s="1"/>
  <c r="F156" i="16" s="1"/>
  <c r="D148" i="16"/>
  <c r="G68" i="16"/>
  <c r="H68" i="16" s="1"/>
  <c r="G69" i="16"/>
  <c r="H69" i="16" s="1"/>
  <c r="G66" i="16"/>
  <c r="H66" i="16" s="1"/>
  <c r="G64" i="16"/>
  <c r="H64" i="16" s="1"/>
  <c r="G62" i="16"/>
  <c r="H62" i="16" s="1"/>
  <c r="G60" i="16"/>
  <c r="H60" i="16" s="1"/>
  <c r="G70" i="16"/>
  <c r="H70" i="16" s="1"/>
  <c r="D51" i="16"/>
  <c r="G65" i="16"/>
  <c r="H65" i="16" s="1"/>
  <c r="G61" i="16"/>
  <c r="H61" i="16" s="1"/>
  <c r="E112" i="16" l="1"/>
  <c r="F112" i="16" s="1"/>
  <c r="D104" i="16"/>
  <c r="E111" i="16"/>
  <c r="F111" i="16" s="1"/>
  <c r="E113" i="16"/>
  <c r="F113" i="16" s="1"/>
  <c r="E108" i="16"/>
  <c r="F108" i="16" s="1"/>
  <c r="E109" i="16"/>
  <c r="F109" i="16" s="1"/>
  <c r="D147" i="16"/>
  <c r="E151" i="16"/>
  <c r="F151" i="16" s="1"/>
  <c r="E152" i="16"/>
  <c r="F152" i="16" s="1"/>
  <c r="E153" i="16"/>
  <c r="F153" i="16" s="1"/>
  <c r="E154" i="16"/>
  <c r="F154" i="16" s="1"/>
  <c r="E155" i="16"/>
  <c r="F155" i="16" s="1"/>
  <c r="H74" i="16"/>
  <c r="H72" i="16"/>
  <c r="F117" i="16" l="1"/>
  <c r="F115" i="16"/>
  <c r="F116" i="16" s="1"/>
  <c r="F160" i="16"/>
  <c r="F158" i="16"/>
  <c r="F159" i="16" s="1"/>
  <c r="B167" i="16"/>
  <c r="B165" i="16"/>
  <c r="G168" i="16" s="1"/>
  <c r="G76" i="16"/>
  <c r="H73" i="16"/>
  <c r="B166" i="16" l="1"/>
  <c r="B57" i="7" l="1"/>
  <c r="B57" i="6"/>
  <c r="C19" i="13"/>
  <c r="D24" i="13"/>
  <c r="D26" i="13"/>
  <c r="D27" i="13"/>
  <c r="D28" i="13"/>
  <c r="D30" i="13"/>
  <c r="D31" i="13"/>
  <c r="D32" i="13"/>
  <c r="D34" i="13"/>
  <c r="D35" i="13"/>
  <c r="D36" i="13"/>
  <c r="D38" i="13"/>
  <c r="D39" i="13"/>
  <c r="D40" i="13"/>
  <c r="D42" i="13"/>
  <c r="D43" i="13"/>
  <c r="C45" i="13"/>
  <c r="C46" i="13"/>
  <c r="D25" i="13" s="1"/>
  <c r="B49" i="13"/>
  <c r="C49" i="13"/>
  <c r="D49" i="13"/>
  <c r="C50" i="13"/>
  <c r="D50" i="13"/>
  <c r="B53" i="12"/>
  <c r="F51" i="12"/>
  <c r="D51" i="12"/>
  <c r="C51" i="12"/>
  <c r="B51" i="12"/>
  <c r="B52" i="12" s="1"/>
  <c r="B42" i="12"/>
  <c r="B32" i="12"/>
  <c r="F30" i="12"/>
  <c r="D30" i="12"/>
  <c r="C30" i="12"/>
  <c r="B30" i="12"/>
  <c r="B31" i="12" s="1"/>
  <c r="B21" i="12"/>
  <c r="B53" i="1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D41" i="13" l="1"/>
  <c r="D37" i="13"/>
  <c r="D33" i="13"/>
  <c r="D29" i="13"/>
  <c r="C173" i="7" l="1"/>
  <c r="B169" i="7"/>
  <c r="C156" i="7"/>
  <c r="B152" i="7"/>
  <c r="C139" i="7"/>
  <c r="B135" i="7"/>
  <c r="C122" i="7"/>
  <c r="B118" i="7"/>
  <c r="D102" i="7" s="1"/>
  <c r="B100" i="7"/>
  <c r="F97" i="7"/>
  <c r="D97" i="7"/>
  <c r="G96" i="7"/>
  <c r="E96" i="7"/>
  <c r="B89" i="7"/>
  <c r="F99" i="7" s="1"/>
  <c r="B84" i="7"/>
  <c r="B83" i="7"/>
  <c r="B81" i="7"/>
  <c r="B80" i="7"/>
  <c r="C76" i="7"/>
  <c r="H71" i="7"/>
  <c r="G71" i="7"/>
  <c r="B68" i="7"/>
  <c r="H67" i="7"/>
  <c r="G67" i="7"/>
  <c r="H63" i="7"/>
  <c r="G63" i="7"/>
  <c r="C56" i="7"/>
  <c r="B55" i="7"/>
  <c r="B45" i="7"/>
  <c r="D48" i="7" s="1"/>
  <c r="F42" i="7"/>
  <c r="D42" i="7"/>
  <c r="G41" i="7"/>
  <c r="E41" i="7"/>
  <c r="B34" i="7"/>
  <c r="D44" i="7" s="1"/>
  <c r="D45" i="7" s="1"/>
  <c r="D46" i="7" s="1"/>
  <c r="B30" i="7"/>
  <c r="C173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C156" i="6"/>
  <c r="B152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C139" i="6"/>
  <c r="B135" i="6"/>
  <c r="C122" i="6"/>
  <c r="B118" i="6"/>
  <c r="D102" i="6"/>
  <c r="B100" i="6"/>
  <c r="D103" i="6" s="1"/>
  <c r="F97" i="6"/>
  <c r="D97" i="6"/>
  <c r="G96" i="6"/>
  <c r="E96" i="6"/>
  <c r="B89" i="6"/>
  <c r="F99" i="6" s="1"/>
  <c r="F100" i="6" s="1"/>
  <c r="B84" i="6"/>
  <c r="B83" i="6"/>
  <c r="B82" i="6"/>
  <c r="B80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F44" i="6" s="1"/>
  <c r="F45" i="6" s="1"/>
  <c r="B30" i="6"/>
  <c r="F46" i="6" l="1"/>
  <c r="F100" i="7"/>
  <c r="F101" i="7" s="1"/>
  <c r="D103" i="7"/>
  <c r="D104" i="7" s="1"/>
  <c r="B69" i="6"/>
  <c r="F101" i="6"/>
  <c r="F170" i="6"/>
  <c r="F151" i="6"/>
  <c r="F152" i="6" s="1"/>
  <c r="B69" i="7"/>
  <c r="D49" i="7"/>
  <c r="E40" i="7"/>
  <c r="E38" i="7"/>
  <c r="E39" i="7"/>
  <c r="D104" i="6"/>
  <c r="G95" i="6"/>
  <c r="G93" i="6"/>
  <c r="G94" i="6"/>
  <c r="G40" i="6"/>
  <c r="G38" i="6"/>
  <c r="D49" i="6"/>
  <c r="G39" i="6"/>
  <c r="F168" i="6"/>
  <c r="F44" i="7"/>
  <c r="F45" i="7" s="1"/>
  <c r="F46" i="7" s="1"/>
  <c r="D44" i="6"/>
  <c r="D45" i="6" s="1"/>
  <c r="D46" i="6" s="1"/>
  <c r="D99" i="6"/>
  <c r="D100" i="6" s="1"/>
  <c r="D101" i="6" s="1"/>
  <c r="F153" i="6"/>
  <c r="D99" i="7"/>
  <c r="D100" i="7" s="1"/>
  <c r="D101" i="7" s="1"/>
  <c r="G38" i="7" l="1"/>
  <c r="E93" i="6"/>
  <c r="G94" i="7"/>
  <c r="G93" i="7"/>
  <c r="G95" i="7"/>
  <c r="E93" i="7"/>
  <c r="E94" i="7"/>
  <c r="G97" i="6"/>
  <c r="G156" i="6"/>
  <c r="E42" i="7"/>
  <c r="E40" i="6"/>
  <c r="E39" i="6"/>
  <c r="E95" i="7"/>
  <c r="G40" i="7"/>
  <c r="E38" i="6"/>
  <c r="F169" i="6"/>
  <c r="G173" i="6"/>
  <c r="G42" i="6"/>
  <c r="E95" i="6"/>
  <c r="E94" i="6"/>
  <c r="G39" i="7"/>
  <c r="D52" i="7" l="1"/>
  <c r="G97" i="7"/>
  <c r="D105" i="7"/>
  <c r="E148" i="7" s="1"/>
  <c r="F148" i="7" s="1"/>
  <c r="E97" i="7"/>
  <c r="D107" i="7"/>
  <c r="E97" i="6"/>
  <c r="D107" i="6"/>
  <c r="D105" i="6"/>
  <c r="G42" i="7"/>
  <c r="D50" i="6"/>
  <c r="E42" i="6"/>
  <c r="D52" i="6"/>
  <c r="D50" i="7"/>
  <c r="D106" i="7" l="1"/>
  <c r="E131" i="7"/>
  <c r="F131" i="7" s="1"/>
  <c r="E113" i="7"/>
  <c r="F113" i="7" s="1"/>
  <c r="E161" i="7"/>
  <c r="F161" i="7" s="1"/>
  <c r="E112" i="7"/>
  <c r="F112" i="7" s="1"/>
  <c r="E132" i="7"/>
  <c r="F132" i="7" s="1"/>
  <c r="E162" i="7"/>
  <c r="F162" i="7" s="1"/>
  <c r="E115" i="7"/>
  <c r="F115" i="7" s="1"/>
  <c r="E145" i="7"/>
  <c r="F145" i="7" s="1"/>
  <c r="E163" i="7"/>
  <c r="F163" i="7" s="1"/>
  <c r="E114" i="7"/>
  <c r="F114" i="7" s="1"/>
  <c r="E144" i="7"/>
  <c r="F144" i="7" s="1"/>
  <c r="E164" i="7"/>
  <c r="F164" i="7" s="1"/>
  <c r="E127" i="7"/>
  <c r="F127" i="7" s="1"/>
  <c r="E165" i="7"/>
  <c r="F165" i="7" s="1"/>
  <c r="E128" i="7"/>
  <c r="F128" i="7" s="1"/>
  <c r="E146" i="7"/>
  <c r="F146" i="7" s="1"/>
  <c r="E166" i="7"/>
  <c r="F166" i="7" s="1"/>
  <c r="E147" i="7"/>
  <c r="F147" i="7" s="1"/>
  <c r="E111" i="7"/>
  <c r="F111" i="7" s="1"/>
  <c r="E129" i="7"/>
  <c r="F129" i="7" s="1"/>
  <c r="E149" i="7"/>
  <c r="F149" i="7" s="1"/>
  <c r="E110" i="7"/>
  <c r="F110" i="7" s="1"/>
  <c r="E130" i="7"/>
  <c r="F130" i="7" s="1"/>
  <c r="G70" i="7"/>
  <c r="H70" i="7" s="1"/>
  <c r="G62" i="7"/>
  <c r="H62" i="7" s="1"/>
  <c r="G60" i="7"/>
  <c r="H60" i="7" s="1"/>
  <c r="G68" i="7"/>
  <c r="H68" i="7" s="1"/>
  <c r="G65" i="7"/>
  <c r="H65" i="7" s="1"/>
  <c r="G69" i="7"/>
  <c r="H69" i="7" s="1"/>
  <c r="G61" i="7"/>
  <c r="H61" i="7" s="1"/>
  <c r="D51" i="7"/>
  <c r="G66" i="7"/>
  <c r="H66" i="7" s="1"/>
  <c r="G64" i="7"/>
  <c r="H64" i="7" s="1"/>
  <c r="E132" i="6"/>
  <c r="F132" i="6" s="1"/>
  <c r="E130" i="6"/>
  <c r="F130" i="6" s="1"/>
  <c r="E128" i="6"/>
  <c r="F128" i="6" s="1"/>
  <c r="E114" i="6"/>
  <c r="F114" i="6" s="1"/>
  <c r="E112" i="6"/>
  <c r="F112" i="6" s="1"/>
  <c r="E110" i="6"/>
  <c r="F110" i="6" s="1"/>
  <c r="E131" i="6"/>
  <c r="F131" i="6" s="1"/>
  <c r="E129" i="6"/>
  <c r="F129" i="6" s="1"/>
  <c r="E127" i="6"/>
  <c r="F127" i="6" s="1"/>
  <c r="E115" i="6"/>
  <c r="F115" i="6" s="1"/>
  <c r="E113" i="6"/>
  <c r="F113" i="6" s="1"/>
  <c r="E111" i="6"/>
  <c r="F111" i="6" s="1"/>
  <c r="D106" i="6"/>
  <c r="D51" i="6"/>
  <c r="G70" i="6"/>
  <c r="H70" i="6" s="1"/>
  <c r="G65" i="6"/>
  <c r="H65" i="6" s="1"/>
  <c r="G61" i="6"/>
  <c r="H61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H60" i="6" s="1"/>
  <c r="F134" i="7" l="1"/>
  <c r="G139" i="7" s="1"/>
  <c r="F119" i="7"/>
  <c r="F168" i="7"/>
  <c r="F169" i="7" s="1"/>
  <c r="F151" i="7"/>
  <c r="F152" i="7" s="1"/>
  <c r="F136" i="7"/>
  <c r="F117" i="7"/>
  <c r="G122" i="7" s="1"/>
  <c r="F153" i="7"/>
  <c r="F170" i="7"/>
  <c r="H72" i="6"/>
  <c r="H74" i="6"/>
  <c r="H72" i="7"/>
  <c r="H74" i="7"/>
  <c r="F136" i="6"/>
  <c r="F134" i="6"/>
  <c r="F117" i="6"/>
  <c r="F119" i="6"/>
  <c r="F135" i="7" l="1"/>
  <c r="G173" i="7"/>
  <c r="F118" i="7"/>
  <c r="G156" i="7"/>
  <c r="G76" i="7"/>
  <c r="H73" i="7"/>
  <c r="H73" i="6"/>
  <c r="G76" i="6"/>
  <c r="F135" i="6"/>
  <c r="G139" i="6"/>
  <c r="G122" i="6"/>
  <c r="F118" i="6"/>
</calcChain>
</file>

<file path=xl/sharedStrings.xml><?xml version="1.0" encoding="utf-8"?>
<sst xmlns="http://schemas.openxmlformats.org/spreadsheetml/2006/main" count="861" uniqueCount="147">
  <si>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</si>
  <si>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</si>
  <si>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</si>
  <si>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</si>
  <si>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</si>
  <si>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</si>
  <si>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</si>
  <si>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</si>
  <si>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</si>
  <si>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</si>
  <si>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</si>
  <si>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</si>
  <si>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</si>
  <si>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</si>
  <si>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</si>
  <si>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</si>
  <si>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</si>
  <si>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</si>
  <si>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</si>
  <si>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</si>
  <si>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</si>
  <si>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</si>
  <si>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</si>
  <si>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</si>
  <si>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</si>
  <si>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</si>
  <si>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</si>
  <si>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</si>
  <si>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</si>
  <si>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</si>
  <si>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</si>
  <si>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</si>
  <si>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</si>
  <si>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</si>
  <si>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</si>
  <si>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</si>
  <si>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</si>
  <si>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</si>
  <si>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</si>
  <si>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</si>
  <si>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</si>
  <si>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</si>
  <si>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</si>
  <si>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</si>
  <si>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</si>
  <si>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</si>
  <si>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</si>
  <si>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</si>
  <si>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</si>
  <si>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</si>
  <si>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</si>
  <si>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</si>
  <si>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</si>
  <si>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</si>
  <si>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</si>
  <si>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</si>
  <si>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</si>
  <si>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</si>
  <si>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</si>
  <si>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</si>
  <si>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</si>
  <si>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</si>
  <si>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</si>
  <si>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</si>
  <si>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</si>
  <si>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</si>
  <si>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</si>
  <si>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</si>
  <si>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</si>
  <si>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</si>
  <si>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</si>
  <si>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</si>
  <si>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</si>
  <si>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</si>
  <si>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</si>
  <si>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</si>
  <si>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</si>
  <si>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</si>
  <si>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</si>
  <si>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</si>
  <si>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</si>
  <si>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</si>
  <si>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</si>
  <si>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</si>
  <si>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</si>
  <si>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</si>
  <si>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</si>
  <si>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</si>
  <si>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</si>
  <si>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</si>
  <si>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</si>
  <si>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</si>
  <si>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</si>
  <si>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</si>
  <si>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</si>
  <si>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</si>
  <si>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</si>
  <si>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</si>
  <si>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</si>
  <si>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</si>
  <si>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</si>
  <si>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</si>
  <si>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</si>
  <si>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</si>
  <si>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</si>
  <si>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</si>
  <si>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</si>
  <si>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</si>
  <si>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</si>
  <si>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</si>
  <si>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</si>
  <si>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</si>
  <si>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ATAZANAVIR SULFATE /RITONAVIR TABLETS</t>
  </si>
  <si>
    <t>ATAZANAVIR</t>
  </si>
  <si>
    <t>ATAZANAVIR, RITONAVIR</t>
  </si>
  <si>
    <t xml:space="preserve">EACH TABLETS CONTAINS ATAZANAVIR AND RITONAVIR TALETS 300/100 </t>
  </si>
  <si>
    <t>Atazanavi Sulfate</t>
  </si>
  <si>
    <t>Ritonavir</t>
  </si>
  <si>
    <t>R14-3</t>
  </si>
  <si>
    <t>ATAZANAVIR SULFATE</t>
  </si>
  <si>
    <t>The Resolution between Atazanavir and Ritonavir should NLT 2.5 @210 nm</t>
  </si>
  <si>
    <t>RUTTO KENNEDY</t>
  </si>
  <si>
    <t>23/02/2017</t>
  </si>
  <si>
    <t>Resolution(USP)</t>
  </si>
  <si>
    <r>
      <t xml:space="preserve">The Resolution between Atazanavir and Ritonavir should </t>
    </r>
    <r>
      <rPr>
        <b/>
        <sz val="12"/>
        <color rgb="FF000000"/>
        <rFont val="Book Antiqua"/>
        <family val="1"/>
      </rPr>
      <t>NLT 2.5</t>
    </r>
    <r>
      <rPr>
        <sz val="12"/>
        <color rgb="FF000000"/>
        <rFont val="Book Antiqua"/>
      </rPr>
      <t xml:space="preserve"> @210 nm</t>
    </r>
  </si>
  <si>
    <t>2017-02-14 12:28:44</t>
  </si>
  <si>
    <t>Each film coated tablet contains:Atazanavir(as sulfate) equivalent to Atazanavir 300 mg/Ritonavir USP 100 mg.</t>
  </si>
  <si>
    <t>NDQB201702337</t>
  </si>
  <si>
    <t>ANZAVIR-R TABLETS</t>
  </si>
  <si>
    <t>A48-3</t>
  </si>
  <si>
    <t>RITONAVIR</t>
  </si>
  <si>
    <t>Dissolution Result Summary</t>
  </si>
  <si>
    <t>Average Normalised Peak Area:</t>
  </si>
  <si>
    <t>Conc (mg/mL):</t>
  </si>
  <si>
    <t>Purity correction:</t>
  </si>
  <si>
    <t>Initial Standard dilution (mL):</t>
  </si>
  <si>
    <t>Repeat Determination of Active Ingredient Dissolved</t>
  </si>
  <si>
    <t>Mass of WRS as free base (mg):</t>
  </si>
  <si>
    <t>Mass of RS (mg):</t>
  </si>
  <si>
    <t>If correction for water content is NOT needed please enter 0</t>
  </si>
  <si>
    <t>Determination of Active Ingredient Dissolved</t>
  </si>
  <si>
    <t>DISSOLUTION:</t>
  </si>
  <si>
    <t xml:space="preserve">in the sample as a percentage of the stated  label claim is </t>
  </si>
  <si>
    <t xml:space="preserve">The content of </t>
  </si>
  <si>
    <t>Desired Sample Weight (mg)</t>
  </si>
  <si>
    <t>Initial Sample dilution (mL):</t>
  </si>
  <si>
    <t>Dissolution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</si>
</sst>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"/>
    <numFmt numFmtId="172" formatCode="dd\-mmm\-yyyy"/>
  </numFmts>
  <fonts count="3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20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0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</font>
    <font>
      <b/>
      <u/>
      <sz val="1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1" fillId="2" borderId="0"/>
    <xf numFmtId="0" fontId="21" fillId="2" borderId="0"/>
    <xf numFmtId="0" fontId="21" fillId="2" borderId="0"/>
    <xf numFmtId="0" fontId="21" fillId="2" borderId="0"/>
    <xf numFmtId="0" fontId="21" fillId="2" borderId="0"/>
  </cellStyleXfs>
  <cellXfs count="631">
    <xf numFmtId="0" fontId="0" fillId="2" borderId="0" xfId="0" applyFill="1"/>
    <xf numFmtId="0" fontId="2" fillId="2" borderId="0" xfId="1" applyFont="1" applyFill="1"/>
    <xf numFmtId="0" fontId="21" fillId="2" borderId="0" xfId="1" applyFill="1"/>
    <xf numFmtId="0" fontId="5" fillId="2" borderId="0" xfId="1" applyFont="1" applyFill="1"/>
    <xf numFmtId="0" fontId="2" fillId="2" borderId="0" xfId="1" applyFont="1" applyFill="1" applyAlignment="1">
      <alignment horizontal="center"/>
    </xf>
    <xf numFmtId="0" fontId="3" fillId="2" borderId="0" xfId="1" applyFont="1" applyFill="1"/>
    <xf numFmtId="0" fontId="9" fillId="2" borderId="0" xfId="1" applyFont="1" applyFill="1"/>
    <xf numFmtId="0" fontId="9" fillId="3" borderId="0" xfId="1" applyFont="1" applyFill="1" applyAlignment="1" applyProtection="1">
      <alignment horizontal="left"/>
      <protection locked="0"/>
    </xf>
    <xf numFmtId="0" fontId="8" fillId="3" borderId="0" xfId="1" applyFont="1" applyFill="1" applyAlignment="1" applyProtection="1">
      <alignment horizontal="left"/>
      <protection locked="0"/>
    </xf>
    <xf numFmtId="0" fontId="8" fillId="2" borderId="0" xfId="1" applyFont="1" applyFill="1"/>
    <xf numFmtId="0" fontId="8" fillId="3" borderId="0" xfId="1" applyFont="1" applyFill="1" applyProtection="1">
      <protection locked="0"/>
    </xf>
    <xf numFmtId="168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left"/>
      <protection locked="0"/>
    </xf>
    <xf numFmtId="0" fontId="8" fillId="3" borderId="0" xfId="1" applyFont="1" applyFill="1"/>
    <xf numFmtId="0" fontId="8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center"/>
      <protection locked="0"/>
    </xf>
    <xf numFmtId="0" fontId="10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2" fontId="18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3" fillId="2" borderId="0" xfId="1" applyFont="1" applyFill="1"/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9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8" fillId="3" borderId="24" xfId="1" applyFont="1" applyFill="1" applyBorder="1" applyAlignment="1" applyProtection="1">
      <alignment horizontal="center"/>
      <protection locked="0"/>
    </xf>
    <xf numFmtId="0" fontId="8" fillId="2" borderId="22" xfId="1" applyFont="1" applyFill="1" applyBorder="1" applyAlignment="1">
      <alignment horizontal="right"/>
    </xf>
    <xf numFmtId="0" fontId="18" fillId="3" borderId="23" xfId="1" applyFont="1" applyFill="1" applyBorder="1" applyAlignment="1" applyProtection="1">
      <alignment horizontal="center"/>
      <protection locked="0"/>
    </xf>
    <xf numFmtId="0" fontId="9" fillId="2" borderId="24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38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8" fillId="2" borderId="27" xfId="1" applyFont="1" applyFill="1" applyBorder="1" applyAlignment="1">
      <alignment horizontal="center"/>
    </xf>
    <xf numFmtId="0" fontId="18" fillId="3" borderId="55" xfId="1" applyFont="1" applyFill="1" applyBorder="1" applyAlignment="1" applyProtection="1">
      <alignment horizontal="center"/>
      <protection locked="0"/>
    </xf>
    <xf numFmtId="170" fontId="8" fillId="2" borderId="38" xfId="1" applyNumberFormat="1" applyFont="1" applyFill="1" applyBorder="1" applyAlignment="1">
      <alignment horizontal="center"/>
    </xf>
    <xf numFmtId="170" fontId="8" fillId="2" borderId="26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8" fillId="3" borderId="22" xfId="1" applyFont="1" applyFill="1" applyBorder="1" applyAlignment="1" applyProtection="1">
      <alignment horizontal="center"/>
      <protection locked="0"/>
    </xf>
    <xf numFmtId="170" fontId="8" fillId="2" borderId="39" xfId="1" applyNumberFormat="1" applyFont="1" applyFill="1" applyBorder="1" applyAlignment="1">
      <alignment horizontal="center"/>
    </xf>
    <xf numFmtId="170" fontId="8" fillId="2" borderId="48" xfId="1" applyNumberFormat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8" fillId="3" borderId="29" xfId="1" applyFont="1" applyFill="1" applyBorder="1" applyAlignment="1" applyProtection="1">
      <alignment horizontal="center"/>
      <protection locked="0"/>
    </xf>
    <xf numFmtId="170" fontId="8" fillId="2" borderId="40" xfId="1" applyNumberFormat="1" applyFont="1" applyFill="1" applyBorder="1" applyAlignment="1">
      <alignment horizontal="center"/>
    </xf>
    <xf numFmtId="170" fontId="8" fillId="2" borderId="49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right"/>
    </xf>
    <xf numFmtId="1" fontId="9" fillId="6" borderId="51" xfId="1" applyNumberFormat="1" applyFont="1" applyFill="1" applyBorder="1" applyAlignment="1">
      <alignment horizontal="center"/>
    </xf>
    <xf numFmtId="170" fontId="9" fillId="6" borderId="34" xfId="1" applyNumberFormat="1" applyFont="1" applyFill="1" applyBorder="1" applyAlignment="1">
      <alignment horizontal="center"/>
    </xf>
    <xf numFmtId="1" fontId="9" fillId="6" borderId="30" xfId="1" applyNumberFormat="1" applyFont="1" applyFill="1" applyBorder="1" applyAlignment="1">
      <alignment horizontal="center"/>
    </xf>
    <xf numFmtId="170" fontId="9" fillId="6" borderId="31" xfId="1" applyNumberFormat="1" applyFont="1" applyFill="1" applyBorder="1" applyAlignment="1">
      <alignment horizontal="center"/>
    </xf>
    <xf numFmtId="0" fontId="8" fillId="2" borderId="52" xfId="1" applyFont="1" applyFill="1" applyBorder="1" applyAlignment="1">
      <alignment horizontal="right"/>
    </xf>
    <xf numFmtId="0" fontId="18" fillId="3" borderId="56" xfId="1" applyFont="1" applyFill="1" applyBorder="1" applyAlignment="1" applyProtection="1">
      <alignment horizontal="center"/>
      <protection locked="0"/>
    </xf>
    <xf numFmtId="0" fontId="18" fillId="3" borderId="16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6" borderId="32" xfId="1" applyNumberFormat="1" applyFont="1" applyFill="1" applyBorder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6" borderId="17" xfId="1" applyNumberFormat="1" applyFont="1" applyFill="1" applyBorder="1" applyAlignment="1">
      <alignment horizontal="center"/>
    </xf>
    <xf numFmtId="0" fontId="18" fillId="3" borderId="41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51" xfId="1" applyFont="1" applyFill="1" applyBorder="1" applyAlignment="1">
      <alignment horizontal="right"/>
    </xf>
    <xf numFmtId="2" fontId="8" fillId="7" borderId="26" xfId="1" applyNumberFormat="1" applyFont="1" applyFill="1" applyBorder="1" applyAlignment="1">
      <alignment horizontal="center"/>
    </xf>
    <xf numFmtId="170" fontId="8" fillId="2" borderId="0" xfId="1" applyNumberFormat="1" applyFont="1" applyFill="1" applyAlignment="1">
      <alignment horizontal="center"/>
    </xf>
    <xf numFmtId="0" fontId="8" fillId="2" borderId="16" xfId="1" applyFont="1" applyFill="1" applyBorder="1" applyAlignment="1">
      <alignment horizontal="right"/>
    </xf>
    <xf numFmtId="170" fontId="9" fillId="7" borderId="16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8" fillId="6" borderId="32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8" fillId="7" borderId="17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8" fillId="3" borderId="21" xfId="1" applyFont="1" applyFill="1" applyBorder="1" applyAlignment="1" applyProtection="1">
      <alignment horizontal="center"/>
      <protection locked="0"/>
    </xf>
    <xf numFmtId="2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2" fontId="8" fillId="2" borderId="22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/>
    </xf>
    <xf numFmtId="0" fontId="18" fillId="3" borderId="42" xfId="1" applyFont="1" applyFill="1" applyBorder="1" applyAlignment="1" applyProtection="1">
      <alignment horizontal="center"/>
      <protection locked="0"/>
    </xf>
    <xf numFmtId="2" fontId="8" fillId="2" borderId="13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2" fontId="8" fillId="2" borderId="14" xfId="1" applyNumberFormat="1" applyFont="1" applyFill="1" applyBorder="1" applyAlignment="1">
      <alignment horizontal="center"/>
    </xf>
    <xf numFmtId="10" fontId="8" fillId="2" borderId="23" xfId="1" applyNumberFormat="1" applyFont="1" applyFill="1" applyBorder="1" applyAlignment="1">
      <alignment horizontal="center" vertical="center"/>
    </xf>
    <xf numFmtId="2" fontId="8" fillId="2" borderId="15" xfId="1" applyNumberFormat="1" applyFont="1" applyFill="1" applyBorder="1" applyAlignment="1">
      <alignment horizontal="center"/>
    </xf>
    <xf numFmtId="10" fontId="8" fillId="2" borderId="50" xfId="1" applyNumberFormat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2" fontId="8" fillId="2" borderId="50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right"/>
    </xf>
    <xf numFmtId="10" fontId="18" fillId="7" borderId="28" xfId="1" applyNumberFormat="1" applyFont="1" applyFill="1" applyBorder="1" applyAlignment="1">
      <alignment horizontal="center"/>
    </xf>
    <xf numFmtId="10" fontId="18" fillId="6" borderId="57" xfId="1" applyNumberFormat="1" applyFont="1" applyFill="1" applyBorder="1" applyAlignment="1">
      <alignment horizontal="center"/>
    </xf>
    <xf numFmtId="0" fontId="18" fillId="7" borderId="58" xfId="1" applyFont="1" applyFill="1" applyBorder="1" applyAlignment="1">
      <alignment horizontal="center"/>
    </xf>
    <xf numFmtId="165" fontId="9" fillId="2" borderId="0" xfId="1" applyNumberFormat="1" applyFont="1" applyFill="1" applyAlignment="1">
      <alignment horizontal="center"/>
    </xf>
    <xf numFmtId="0" fontId="19" fillId="3" borderId="0" xfId="1" applyFont="1" applyFill="1" applyAlignment="1" applyProtection="1">
      <alignment horizontal="center"/>
      <protection locked="0"/>
    </xf>
    <xf numFmtId="0" fontId="9" fillId="2" borderId="35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8" fillId="2" borderId="45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70" fontId="18" fillId="3" borderId="29" xfId="1" applyNumberFormat="1" applyFont="1" applyFill="1" applyBorder="1" applyAlignment="1" applyProtection="1">
      <alignment horizontal="center"/>
      <protection locked="0"/>
    </xf>
    <xf numFmtId="1" fontId="9" fillId="6" borderId="53" xfId="1" applyNumberFormat="1" applyFont="1" applyFill="1" applyBorder="1" applyAlignment="1">
      <alignment horizontal="center"/>
    </xf>
    <xf numFmtId="1" fontId="9" fillId="6" borderId="46" xfId="1" applyNumberFormat="1" applyFont="1" applyFill="1" applyBorder="1" applyAlignment="1">
      <alignment horizontal="center"/>
    </xf>
    <xf numFmtId="1" fontId="9" fillId="6" borderId="15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10" fontId="8" fillId="2" borderId="0" xfId="1" applyNumberFormat="1" applyFont="1" applyFill="1" applyAlignment="1">
      <alignment horizontal="center"/>
    </xf>
    <xf numFmtId="10" fontId="9" fillId="6" borderId="32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9" fillId="2" borderId="37" xfId="1" applyFont="1" applyFill="1" applyBorder="1"/>
    <xf numFmtId="0" fontId="9" fillId="2" borderId="24" xfId="1" applyFont="1" applyFill="1" applyBorder="1" applyAlignment="1">
      <alignment horizontal="center" wrapText="1"/>
    </xf>
    <xf numFmtId="0" fontId="8" fillId="2" borderId="22" xfId="1" applyFont="1" applyFill="1" applyBorder="1" applyAlignment="1">
      <alignment horizontal="center"/>
    </xf>
    <xf numFmtId="1" fontId="18" fillId="3" borderId="39" xfId="1" applyNumberFormat="1" applyFont="1" applyFill="1" applyBorder="1" applyAlignment="1" applyProtection="1">
      <alignment horizontal="center"/>
      <protection locked="0"/>
    </xf>
    <xf numFmtId="2" fontId="8" fillId="2" borderId="38" xfId="1" applyNumberFormat="1" applyFont="1" applyFill="1" applyBorder="1" applyAlignment="1">
      <alignment horizontal="center"/>
    </xf>
    <xf numFmtId="10" fontId="8" fillId="2" borderId="26" xfId="1" applyNumberFormat="1" applyFont="1" applyFill="1" applyBorder="1" applyAlignment="1">
      <alignment horizontal="center"/>
    </xf>
    <xf numFmtId="2" fontId="8" fillId="2" borderId="39" xfId="1" applyNumberFormat="1" applyFont="1" applyFill="1" applyBorder="1" applyAlignment="1">
      <alignment horizontal="center"/>
    </xf>
    <xf numFmtId="10" fontId="8" fillId="2" borderId="4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center"/>
    </xf>
    <xf numFmtId="1" fontId="18" fillId="3" borderId="40" xfId="1" applyNumberFormat="1" applyFont="1" applyFill="1" applyBorder="1" applyAlignment="1" applyProtection="1">
      <alignment horizontal="center"/>
      <protection locked="0"/>
    </xf>
    <xf numFmtId="2" fontId="8" fillId="2" borderId="40" xfId="1" applyNumberFormat="1" applyFont="1" applyFill="1" applyBorder="1" applyAlignment="1">
      <alignment horizontal="center"/>
    </xf>
    <xf numFmtId="10" fontId="8" fillId="2" borderId="49" xfId="1" applyNumberFormat="1" applyFont="1" applyFill="1" applyBorder="1" applyAlignment="1">
      <alignment horizontal="center"/>
    </xf>
    <xf numFmtId="2" fontId="8" fillId="2" borderId="23" xfId="1" applyNumberFormat="1" applyFont="1" applyFill="1" applyBorder="1" applyAlignment="1">
      <alignment horizontal="center"/>
    </xf>
    <xf numFmtId="170" fontId="9" fillId="2" borderId="0" xfId="1" applyNumberFormat="1" applyFont="1" applyFill="1" applyAlignment="1">
      <alignment horizontal="center"/>
    </xf>
    <xf numFmtId="170" fontId="8" fillId="2" borderId="2" xfId="1" applyNumberFormat="1" applyFont="1" applyFill="1" applyBorder="1" applyAlignment="1">
      <alignment horizontal="right"/>
    </xf>
    <xf numFmtId="10" fontId="9" fillId="7" borderId="41" xfId="1" applyNumberFormat="1" applyFont="1" applyFill="1" applyBorder="1" applyAlignment="1">
      <alignment horizontal="center"/>
    </xf>
    <xf numFmtId="0" fontId="8" fillId="2" borderId="22" xfId="1" applyFont="1" applyFill="1" applyBorder="1"/>
    <xf numFmtId="0" fontId="8" fillId="2" borderId="6" xfId="1" applyFont="1" applyFill="1" applyBorder="1"/>
    <xf numFmtId="10" fontId="9" fillId="6" borderId="41" xfId="1" applyNumberFormat="1" applyFont="1" applyFill="1" applyBorder="1" applyAlignment="1">
      <alignment horizontal="center"/>
    </xf>
    <xf numFmtId="0" fontId="8" fillId="2" borderId="42" xfId="1" applyFont="1" applyFill="1" applyBorder="1"/>
    <xf numFmtId="0" fontId="8" fillId="2" borderId="43" xfId="1" applyFont="1" applyFill="1" applyBorder="1" applyAlignment="1">
      <alignment horizontal="center"/>
    </xf>
    <xf numFmtId="0" fontId="8" fillId="2" borderId="44" xfId="1" applyFont="1" applyFill="1" applyBorder="1" applyAlignment="1">
      <alignment horizontal="right"/>
    </xf>
    <xf numFmtId="2" fontId="8" fillId="2" borderId="4" xfId="1" applyNumberFormat="1" applyFont="1" applyFill="1" applyBorder="1" applyAlignment="1">
      <alignment horizontal="center"/>
    </xf>
    <xf numFmtId="10" fontId="8" fillId="2" borderId="27" xfId="1" applyNumberFormat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  <xf numFmtId="10" fontId="8" fillId="2" borderId="23" xfId="1" applyNumberFormat="1" applyFont="1" applyFill="1" applyBorder="1" applyAlignment="1">
      <alignment horizontal="center"/>
    </xf>
    <xf numFmtId="2" fontId="8" fillId="2" borderId="5" xfId="1" applyNumberFormat="1" applyFont="1" applyFill="1" applyBorder="1" applyAlignment="1">
      <alignment horizontal="center"/>
    </xf>
    <xf numFmtId="10" fontId="8" fillId="2" borderId="28" xfId="1" applyNumberFormat="1" applyFont="1" applyFill="1" applyBorder="1" applyAlignment="1">
      <alignment horizontal="center"/>
    </xf>
    <xf numFmtId="10" fontId="18" fillId="7" borderId="41" xfId="1" applyNumberFormat="1" applyFont="1" applyFill="1" applyBorder="1" applyAlignment="1">
      <alignment horizontal="center"/>
    </xf>
    <xf numFmtId="10" fontId="18" fillId="6" borderId="41" xfId="1" applyNumberFormat="1" applyFont="1" applyFill="1" applyBorder="1" applyAlignment="1">
      <alignment horizontal="center"/>
    </xf>
    <xf numFmtId="0" fontId="18" fillId="7" borderId="17" xfId="1" applyFont="1" applyFill="1" applyBorder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11" xfId="1" applyFont="1" applyFill="1" applyBorder="1"/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1" fillId="2" borderId="0" xfId="2" applyFill="1"/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10" xfId="2" applyFont="1" applyFill="1" applyBorder="1" applyAlignment="1">
      <alignment horizontal="center"/>
    </xf>
    <xf numFmtId="0" fontId="22" fillId="3" borderId="3" xfId="3" applyFont="1" applyFill="1" applyBorder="1" applyAlignment="1" applyProtection="1">
      <alignment horizontal="center"/>
      <protection locked="0"/>
    </xf>
    <xf numFmtId="2" fontId="22" fillId="3" borderId="3" xfId="3" applyNumberFormat="1" applyFont="1" applyFill="1" applyBorder="1" applyAlignment="1" applyProtection="1">
      <alignment horizontal="center"/>
      <protection locked="0"/>
    </xf>
    <xf numFmtId="2" fontId="22" fillId="3" borderId="4" xfId="3" applyNumberFormat="1" applyFont="1" applyFill="1" applyBorder="1" applyAlignment="1" applyProtection="1">
      <alignment horizontal="center"/>
      <protection locked="0"/>
    </xf>
    <xf numFmtId="0" fontId="22" fillId="3" borderId="5" xfId="3" applyFont="1" applyFill="1" applyBorder="1" applyAlignment="1" applyProtection="1">
      <alignment horizontal="center"/>
      <protection locked="0"/>
    </xf>
    <xf numFmtId="171" fontId="22" fillId="3" borderId="5" xfId="3" applyNumberFormat="1" applyFont="1" applyFill="1" applyBorder="1" applyAlignment="1" applyProtection="1">
      <alignment horizontal="center"/>
      <protection locked="0"/>
    </xf>
    <xf numFmtId="2" fontId="22" fillId="3" borderId="5" xfId="3" applyNumberFormat="1" applyFont="1" applyFill="1" applyBorder="1" applyAlignment="1" applyProtection="1">
      <alignment horizontal="center"/>
      <protection locked="0"/>
    </xf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3" fillId="2" borderId="0" xfId="3" applyFont="1" applyFill="1"/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10" fontId="2" fillId="2" borderId="0" xfId="3" applyNumberFormat="1" applyFont="1" applyFill="1" applyBorder="1"/>
    <xf numFmtId="0" fontId="21" fillId="2" borderId="0" xfId="3" applyFill="1"/>
    <xf numFmtId="14" fontId="1" fillId="2" borderId="10" xfId="3" applyNumberFormat="1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14" fontId="2" fillId="2" borderId="7" xfId="3" applyNumberFormat="1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25" fillId="2" borderId="0" xfId="1" applyFont="1" applyFill="1"/>
    <xf numFmtId="0" fontId="23" fillId="2" borderId="11" xfId="1" applyFont="1" applyFill="1" applyBorder="1"/>
    <xf numFmtId="0" fontId="23" fillId="2" borderId="0" xfId="1" applyFont="1" applyFill="1"/>
    <xf numFmtId="0" fontId="24" fillId="2" borderId="11" xfId="1" applyFont="1" applyFill="1" applyBorder="1"/>
    <xf numFmtId="0" fontId="24" fillId="2" borderId="0" xfId="1" applyFont="1" applyFill="1"/>
    <xf numFmtId="0" fontId="24" fillId="2" borderId="0" xfId="1" applyFont="1" applyFill="1" applyAlignment="1">
      <alignment horizontal="right"/>
    </xf>
    <xf numFmtId="0" fontId="23" fillId="2" borderId="7" xfId="1" applyFont="1" applyFill="1" applyBorder="1"/>
    <xf numFmtId="0" fontId="24" fillId="2" borderId="1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/>
    </xf>
    <xf numFmtId="0" fontId="24" fillId="2" borderId="10" xfId="1" applyFont="1" applyFill="1" applyBorder="1"/>
    <xf numFmtId="0" fontId="26" fillId="2" borderId="0" xfId="1" applyFont="1" applyFill="1"/>
    <xf numFmtId="10" fontId="23" fillId="2" borderId="9" xfId="1" applyNumberFormat="1" applyFont="1" applyFill="1" applyBorder="1"/>
    <xf numFmtId="0" fontId="23" fillId="2" borderId="0" xfId="1" applyFont="1" applyFill="1" applyAlignment="1">
      <alignment horizontal="center"/>
    </xf>
    <xf numFmtId="0" fontId="23" fillId="2" borderId="9" xfId="1" applyFont="1" applyFill="1" applyBorder="1"/>
    <xf numFmtId="2" fontId="24" fillId="2" borderId="12" xfId="1" applyNumberFormat="1" applyFont="1" applyFill="1" applyBorder="1" applyAlignment="1">
      <alignment horizontal="center" vertical="center"/>
    </xf>
    <xf numFmtId="165" fontId="24" fillId="2" borderId="17" xfId="1" applyNumberFormat="1" applyFont="1" applyFill="1" applyBorder="1" applyAlignment="1">
      <alignment horizontal="center"/>
    </xf>
    <xf numFmtId="165" fontId="24" fillId="2" borderId="16" xfId="1" applyNumberFormat="1" applyFont="1" applyFill="1" applyBorder="1" applyAlignment="1">
      <alignment horizontal="center"/>
    </xf>
    <xf numFmtId="2" fontId="27" fillId="2" borderId="0" xfId="1" applyNumberFormat="1" applyFont="1" applyFill="1"/>
    <xf numFmtId="10" fontId="28" fillId="2" borderId="0" xfId="1" applyNumberFormat="1" applyFont="1" applyFill="1"/>
    <xf numFmtId="0" fontId="24" fillId="2" borderId="12" xfId="1" applyFont="1" applyFill="1" applyBorder="1" applyAlignment="1">
      <alignment horizontal="center" wrapText="1"/>
    </xf>
    <xf numFmtId="0" fontId="24" fillId="2" borderId="12" xfId="1" applyFont="1" applyFill="1" applyBorder="1" applyAlignment="1">
      <alignment horizontal="center" vertical="center"/>
    </xf>
    <xf numFmtId="2" fontId="27" fillId="2" borderId="0" xfId="1" applyNumberFormat="1" applyFont="1" applyFill="1" applyAlignment="1">
      <alignment horizontal="right"/>
    </xf>
    <xf numFmtId="2" fontId="24" fillId="2" borderId="0" xfId="1" applyNumberFormat="1" applyFont="1" applyFill="1"/>
    <xf numFmtId="164" fontId="24" fillId="2" borderId="12" xfId="1" applyNumberFormat="1" applyFont="1" applyFill="1" applyBorder="1" applyAlignment="1">
      <alignment horizontal="center" vertical="center"/>
    </xf>
    <xf numFmtId="0" fontId="23" fillId="2" borderId="12" xfId="1" applyFont="1" applyFill="1" applyBorder="1" applyAlignment="1">
      <alignment horizontal="right" vertical="center"/>
    </xf>
    <xf numFmtId="166" fontId="28" fillId="2" borderId="0" xfId="1" applyNumberFormat="1" applyFont="1" applyFill="1" applyAlignment="1">
      <alignment horizontal="center"/>
    </xf>
    <xf numFmtId="166" fontId="23" fillId="2" borderId="0" xfId="1" applyNumberFormat="1" applyFont="1" applyFill="1" applyAlignment="1">
      <alignment horizontal="center"/>
    </xf>
    <xf numFmtId="166" fontId="23" fillId="2" borderId="12" xfId="1" applyNumberFormat="1" applyFont="1" applyFill="1" applyBorder="1" applyAlignment="1">
      <alignment horizontal="center" vertical="center"/>
    </xf>
    <xf numFmtId="10" fontId="28" fillId="2" borderId="0" xfId="1" applyNumberFormat="1" applyFont="1" applyFill="1" applyAlignment="1">
      <alignment horizontal="center"/>
    </xf>
    <xf numFmtId="10" fontId="23" fillId="2" borderId="0" xfId="1" applyNumberFormat="1" applyFont="1" applyFill="1" applyAlignment="1">
      <alignment horizontal="center"/>
    </xf>
    <xf numFmtId="10" fontId="23" fillId="2" borderId="15" xfId="1" applyNumberFormat="1" applyFont="1" applyFill="1" applyBorder="1" applyAlignment="1">
      <alignment horizontal="center"/>
    </xf>
    <xf numFmtId="2" fontId="23" fillId="3" borderId="15" xfId="1" applyNumberFormat="1" applyFont="1" applyFill="1" applyBorder="1" applyProtection="1">
      <protection locked="0"/>
    </xf>
    <xf numFmtId="10" fontId="23" fillId="2" borderId="14" xfId="1" applyNumberFormat="1" applyFont="1" applyFill="1" applyBorder="1" applyAlignment="1">
      <alignment horizontal="center"/>
    </xf>
    <xf numFmtId="2" fontId="23" fillId="3" borderId="14" xfId="1" applyNumberFormat="1" applyFont="1" applyFill="1" applyBorder="1" applyProtection="1">
      <protection locked="0"/>
    </xf>
    <xf numFmtId="10" fontId="23" fillId="2" borderId="13" xfId="1" applyNumberFormat="1" applyFont="1" applyFill="1" applyBorder="1" applyAlignment="1">
      <alignment horizontal="center"/>
    </xf>
    <xf numFmtId="0" fontId="28" fillId="2" borderId="0" xfId="1" applyFont="1" applyFill="1" applyAlignment="1">
      <alignment horizontal="center"/>
    </xf>
    <xf numFmtId="164" fontId="24" fillId="2" borderId="12" xfId="1" applyNumberFormat="1" applyFont="1" applyFill="1" applyBorder="1" applyAlignment="1">
      <alignment horizontal="center" wrapText="1"/>
    </xf>
    <xf numFmtId="164" fontId="25" fillId="2" borderId="0" xfId="1" applyNumberFormat="1" applyFont="1" applyFill="1"/>
    <xf numFmtId="0" fontId="29" fillId="2" borderId="0" xfId="1" applyFont="1" applyFill="1" applyAlignment="1">
      <alignment horizontal="left"/>
    </xf>
    <xf numFmtId="167" fontId="23" fillId="2" borderId="0" xfId="1" applyNumberFormat="1" applyFont="1" applyFill="1"/>
    <xf numFmtId="167" fontId="23" fillId="2" borderId="0" xfId="1" applyNumberFormat="1" applyFont="1" applyFill="1" applyAlignment="1">
      <alignment horizontal="center"/>
    </xf>
    <xf numFmtId="0" fontId="29" fillId="2" borderId="0" xfId="1" applyFont="1" applyFill="1"/>
    <xf numFmtId="0" fontId="30" fillId="2" borderId="0" xfId="1" applyFont="1" applyFill="1" applyAlignment="1">
      <alignment wrapText="1"/>
    </xf>
    <xf numFmtId="0" fontId="31" fillId="3" borderId="0" xfId="0" applyFont="1" applyFill="1" applyAlignment="1" applyProtection="1">
      <alignment horizontal="left"/>
      <protection locked="0"/>
    </xf>
    <xf numFmtId="172" fontId="31" fillId="3" borderId="0" xfId="0" applyNumberFormat="1" applyFont="1" applyFill="1" applyAlignment="1" applyProtection="1">
      <alignment horizontal="center"/>
      <protection locked="0"/>
    </xf>
    <xf numFmtId="2" fontId="32" fillId="3" borderId="0" xfId="0" applyNumberFormat="1" applyFont="1" applyFill="1" applyAlignment="1" applyProtection="1">
      <alignment horizontal="center"/>
      <protection locked="0"/>
    </xf>
    <xf numFmtId="0" fontId="1" fillId="2" borderId="10" xfId="3" applyFont="1" applyFill="1" applyBorder="1" applyAlignment="1">
      <alignment horizontal="center"/>
    </xf>
    <xf numFmtId="0" fontId="1" fillId="2" borderId="0" xfId="4" applyFont="1" applyFill="1"/>
    <xf numFmtId="2" fontId="7" fillId="3" borderId="3" xfId="4" applyNumberFormat="1" applyFont="1" applyFill="1" applyBorder="1" applyAlignment="1" applyProtection="1">
      <alignment horizontal="center"/>
      <protection locked="0"/>
    </xf>
    <xf numFmtId="0" fontId="21" fillId="2" borderId="0" xfId="4" applyFill="1"/>
    <xf numFmtId="0" fontId="9" fillId="2" borderId="0" xfId="4" applyFont="1" applyFill="1" applyAlignment="1">
      <alignment vertical="center"/>
    </xf>
    <xf numFmtId="0" fontId="9" fillId="3" borderId="0" xfId="4" applyFont="1" applyFill="1" applyAlignment="1" applyProtection="1">
      <alignment horizontal="left" vertical="center"/>
      <protection locked="0"/>
    </xf>
    <xf numFmtId="0" fontId="33" fillId="3" borderId="0" xfId="4" applyFont="1" applyFill="1" applyAlignment="1" applyProtection="1">
      <alignment horizontal="left"/>
      <protection locked="0"/>
    </xf>
    <xf numFmtId="0" fontId="8" fillId="2" borderId="0" xfId="4" applyFont="1" applyFill="1" applyAlignment="1">
      <alignment vertical="center"/>
    </xf>
    <xf numFmtId="168" fontId="33" fillId="3" borderId="0" xfId="4" applyNumberFormat="1" applyFont="1" applyFill="1" applyAlignment="1" applyProtection="1">
      <alignment horizontal="left" vertical="center"/>
      <protection locked="0"/>
    </xf>
    <xf numFmtId="168" fontId="8" fillId="2" borderId="0" xfId="4" applyNumberFormat="1" applyFont="1" applyFill="1" applyAlignment="1">
      <alignment horizontal="left" vertical="center"/>
    </xf>
    <xf numFmtId="0" fontId="3" fillId="2" borderId="0" xfId="4" applyFont="1" applyFill="1" applyAlignment="1">
      <alignment horizontal="left" vertical="center"/>
    </xf>
    <xf numFmtId="0" fontId="9" fillId="2" borderId="0" xfId="4" applyFont="1" applyFill="1" applyAlignment="1">
      <alignment horizontal="right" vertical="center"/>
    </xf>
    <xf numFmtId="0" fontId="8" fillId="2" borderId="0" xfId="4" applyFont="1" applyFill="1" applyAlignment="1">
      <alignment horizontal="right" vertical="center"/>
    </xf>
    <xf numFmtId="0" fontId="18" fillId="3" borderId="0" xfId="4" applyFont="1" applyFill="1" applyAlignment="1" applyProtection="1">
      <alignment horizontal="center" vertical="center"/>
      <protection locked="0"/>
    </xf>
    <xf numFmtId="0" fontId="33" fillId="3" borderId="0" xfId="4" applyFont="1" applyFill="1" applyAlignment="1" applyProtection="1">
      <alignment horizontal="center" vertical="center"/>
      <protection locked="0"/>
    </xf>
    <xf numFmtId="0" fontId="13" fillId="2" borderId="0" xfId="4" applyFont="1" applyFill="1" applyAlignment="1">
      <alignment vertical="center"/>
    </xf>
    <xf numFmtId="0" fontId="10" fillId="2" borderId="0" xfId="4" applyFont="1" applyFill="1" applyAlignment="1">
      <alignment vertical="center" wrapText="1"/>
    </xf>
    <xf numFmtId="0" fontId="2" fillId="2" borderId="0" xfId="4" applyFont="1" applyFill="1"/>
    <xf numFmtId="0" fontId="9" fillId="2" borderId="0" xfId="4" applyFont="1" applyFill="1" applyAlignment="1">
      <alignment horizontal="center"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Alignment="1">
      <alignment vertical="center"/>
    </xf>
    <xf numFmtId="2" fontId="18" fillId="3" borderId="0" xfId="4" applyNumberFormat="1" applyFont="1" applyFill="1" applyAlignment="1" applyProtection="1">
      <alignment horizontal="center" vertical="center"/>
      <protection locked="0"/>
    </xf>
    <xf numFmtId="0" fontId="9" fillId="2" borderId="0" xfId="4" applyFont="1" applyFill="1" applyAlignment="1">
      <alignment vertical="center" wrapText="1"/>
    </xf>
    <xf numFmtId="0" fontId="13" fillId="2" borderId="0" xfId="4" applyFont="1" applyFill="1"/>
    <xf numFmtId="2" fontId="9" fillId="2" borderId="0" xfId="4" applyNumberFormat="1" applyFont="1" applyFill="1" applyAlignment="1">
      <alignment horizontal="center" vertical="center"/>
    </xf>
    <xf numFmtId="0" fontId="14" fillId="2" borderId="0" xfId="4" applyFont="1" applyFill="1" applyAlignment="1">
      <alignment horizontal="left" vertical="center" wrapText="1"/>
    </xf>
    <xf numFmtId="169" fontId="9" fillId="2" borderId="0" xfId="4" applyNumberFormat="1" applyFont="1" applyFill="1" applyAlignment="1">
      <alignment horizontal="center" vertical="center"/>
    </xf>
    <xf numFmtId="0" fontId="8" fillId="2" borderId="21" xfId="4" applyFont="1" applyFill="1" applyBorder="1" applyAlignment="1">
      <alignment horizontal="right" vertical="center"/>
    </xf>
    <xf numFmtId="0" fontId="18" fillId="3" borderId="24" xfId="4" applyFont="1" applyFill="1" applyBorder="1" applyAlignment="1" applyProtection="1">
      <alignment horizontal="center" vertical="center"/>
      <protection locked="0"/>
    </xf>
    <xf numFmtId="0" fontId="8" fillId="2" borderId="22" xfId="4" applyFont="1" applyFill="1" applyBorder="1" applyAlignment="1">
      <alignment horizontal="right" vertical="center"/>
    </xf>
    <xf numFmtId="0" fontId="18" fillId="3" borderId="23" xfId="4" applyFont="1" applyFill="1" applyBorder="1" applyAlignment="1" applyProtection="1">
      <alignment horizontal="center" vertical="center"/>
      <protection locked="0"/>
    </xf>
    <xf numFmtId="0" fontId="9" fillId="2" borderId="10" xfId="4" applyFont="1" applyFill="1" applyBorder="1" applyAlignment="1">
      <alignment horizontal="center" vertical="center"/>
    </xf>
    <xf numFmtId="0" fontId="9" fillId="2" borderId="51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26" xfId="4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center" vertical="center"/>
    </xf>
    <xf numFmtId="0" fontId="18" fillId="3" borderId="51" xfId="4" applyFont="1" applyFill="1" applyBorder="1" applyAlignment="1" applyProtection="1">
      <alignment horizontal="center" vertical="center"/>
      <protection locked="0"/>
    </xf>
    <xf numFmtId="170" fontId="8" fillId="2" borderId="45" xfId="4" applyNumberFormat="1" applyFont="1" applyFill="1" applyBorder="1" applyAlignment="1">
      <alignment horizontal="center" vertical="center"/>
    </xf>
    <xf numFmtId="170" fontId="8" fillId="2" borderId="27" xfId="4" applyNumberFormat="1" applyFont="1" applyFill="1" applyBorder="1" applyAlignment="1">
      <alignment horizontal="center" vertical="center"/>
    </xf>
    <xf numFmtId="0" fontId="8" fillId="2" borderId="0" xfId="4" applyFont="1" applyFill="1" applyAlignment="1">
      <alignment horizontal="center" vertical="center"/>
    </xf>
    <xf numFmtId="0" fontId="18" fillId="3" borderId="53" xfId="4" applyFont="1" applyFill="1" applyBorder="1" applyAlignment="1" applyProtection="1">
      <alignment horizontal="center" vertical="center"/>
      <protection locked="0"/>
    </xf>
    <xf numFmtId="170" fontId="8" fillId="2" borderId="0" xfId="4" applyNumberFormat="1" applyFont="1" applyFill="1" applyAlignment="1">
      <alignment horizontal="center" vertical="center"/>
    </xf>
    <xf numFmtId="170" fontId="8" fillId="2" borderId="23" xfId="4" applyNumberFormat="1" applyFont="1" applyFill="1" applyBorder="1" applyAlignment="1">
      <alignment horizontal="center" vertical="center"/>
    </xf>
    <xf numFmtId="0" fontId="8" fillId="2" borderId="0" xfId="4" applyFont="1" applyFill="1"/>
    <xf numFmtId="0" fontId="8" fillId="2" borderId="7" xfId="4" applyFont="1" applyFill="1" applyBorder="1" applyAlignment="1">
      <alignment horizontal="center" vertical="center"/>
    </xf>
    <xf numFmtId="0" fontId="18" fillId="3" borderId="64" xfId="4" applyFont="1" applyFill="1" applyBorder="1" applyAlignment="1" applyProtection="1">
      <alignment horizontal="center" vertical="center"/>
      <protection locked="0"/>
    </xf>
    <xf numFmtId="170" fontId="8" fillId="2" borderId="7" xfId="4" applyNumberFormat="1" applyFont="1" applyFill="1" applyBorder="1" applyAlignment="1">
      <alignment horizontal="center" vertical="center"/>
    </xf>
    <xf numFmtId="170" fontId="8" fillId="2" borderId="28" xfId="4" applyNumberFormat="1" applyFont="1" applyFill="1" applyBorder="1" applyAlignment="1">
      <alignment horizontal="center" vertical="center"/>
    </xf>
    <xf numFmtId="170" fontId="9" fillId="6" borderId="53" xfId="4" applyNumberFormat="1" applyFont="1" applyFill="1" applyBorder="1" applyAlignment="1">
      <alignment horizontal="center" vertical="center"/>
    </xf>
    <xf numFmtId="170" fontId="9" fillId="6" borderId="34" xfId="4" applyNumberFormat="1" applyFont="1" applyFill="1" applyBorder="1" applyAlignment="1">
      <alignment horizontal="center" vertical="center"/>
    </xf>
    <xf numFmtId="1" fontId="9" fillId="6" borderId="46" xfId="4" applyNumberFormat="1" applyFont="1" applyFill="1" applyBorder="1" applyAlignment="1">
      <alignment horizontal="center" vertical="center"/>
    </xf>
    <xf numFmtId="170" fontId="9" fillId="6" borderId="31" xfId="4" applyNumberFormat="1" applyFont="1" applyFill="1" applyBorder="1" applyAlignment="1">
      <alignment horizontal="center" vertical="center"/>
    </xf>
    <xf numFmtId="0" fontId="2" fillId="2" borderId="0" xfId="4" applyFont="1" applyFill="1" applyAlignment="1">
      <alignment horizontal="center" vertical="center"/>
    </xf>
    <xf numFmtId="0" fontId="8" fillId="2" borderId="47" xfId="4" applyFont="1" applyFill="1" applyBorder="1" applyAlignment="1">
      <alignment horizontal="right"/>
    </xf>
    <xf numFmtId="0" fontId="18" fillId="3" borderId="56" xfId="4" applyFont="1" applyFill="1" applyBorder="1" applyAlignment="1" applyProtection="1">
      <alignment horizontal="center" vertical="center"/>
      <protection locked="0"/>
    </xf>
    <xf numFmtId="0" fontId="18" fillId="3" borderId="16" xfId="4" applyFont="1" applyFill="1" applyBorder="1" applyAlignment="1" applyProtection="1">
      <alignment horizontal="center" vertic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 vertical="center"/>
    </xf>
    <xf numFmtId="2" fontId="8" fillId="6" borderId="32" xfId="4" applyNumberFormat="1" applyFont="1" applyFill="1" applyBorder="1" applyAlignment="1">
      <alignment horizontal="center" vertical="center"/>
    </xf>
    <xf numFmtId="0" fontId="8" fillId="2" borderId="23" xfId="4" applyFont="1" applyFill="1" applyBorder="1" applyAlignment="1">
      <alignment horizontal="center" vertical="center"/>
    </xf>
    <xf numFmtId="2" fontId="8" fillId="7" borderId="41" xfId="4" applyNumberFormat="1" applyFont="1" applyFill="1" applyBorder="1" applyAlignment="1">
      <alignment horizontal="center" vertical="center"/>
    </xf>
    <xf numFmtId="2" fontId="8" fillId="2" borderId="0" xfId="4" applyNumberFormat="1" applyFont="1" applyFill="1" applyAlignment="1">
      <alignment horizontal="center" vertical="center"/>
    </xf>
    <xf numFmtId="2" fontId="8" fillId="7" borderId="32" xfId="4" applyNumberFormat="1" applyFont="1" applyFill="1" applyBorder="1" applyAlignment="1">
      <alignment horizontal="center" vertical="center"/>
    </xf>
    <xf numFmtId="2" fontId="8" fillId="6" borderId="17" xfId="4" applyNumberFormat="1" applyFont="1" applyFill="1" applyBorder="1" applyAlignment="1">
      <alignment horizontal="center" vertical="center"/>
    </xf>
    <xf numFmtId="0" fontId="8" fillId="2" borderId="63" xfId="4" applyFont="1" applyFill="1" applyBorder="1" applyAlignment="1">
      <alignment horizontal="right" vertical="center"/>
    </xf>
    <xf numFmtId="166" fontId="18" fillId="3" borderId="41" xfId="4" applyNumberFormat="1" applyFont="1" applyFill="1" applyBorder="1" applyAlignment="1" applyProtection="1">
      <alignment horizontal="center" vertical="center"/>
      <protection locked="0"/>
    </xf>
    <xf numFmtId="1" fontId="8" fillId="2" borderId="0" xfId="4" applyNumberFormat="1" applyFont="1" applyFill="1" applyAlignment="1">
      <alignment horizontal="center" vertical="center"/>
    </xf>
    <xf numFmtId="0" fontId="8" fillId="2" borderId="25" xfId="4" applyFont="1" applyFill="1" applyBorder="1" applyAlignment="1">
      <alignment horizontal="right" vertical="center"/>
    </xf>
    <xf numFmtId="0" fontId="8" fillId="2" borderId="51" xfId="4" applyFont="1" applyFill="1" applyBorder="1" applyAlignment="1">
      <alignment horizontal="right" vertical="center"/>
    </xf>
    <xf numFmtId="2" fontId="8" fillId="6" borderId="26" xfId="4" applyNumberFormat="1" applyFont="1" applyFill="1" applyBorder="1" applyAlignment="1">
      <alignment horizontal="center" vertical="center"/>
    </xf>
    <xf numFmtId="0" fontId="8" fillId="2" borderId="16" xfId="4" applyFont="1" applyFill="1" applyBorder="1" applyAlignment="1">
      <alignment horizontal="right" vertical="center"/>
    </xf>
    <xf numFmtId="170" fontId="9" fillId="7" borderId="16" xfId="4" applyNumberFormat="1" applyFont="1" applyFill="1" applyBorder="1" applyAlignment="1">
      <alignment horizontal="center" vertical="center"/>
    </xf>
    <xf numFmtId="0" fontId="8" fillId="2" borderId="32" xfId="4" applyFont="1" applyFill="1" applyBorder="1" applyAlignment="1">
      <alignment horizontal="right" vertical="center"/>
    </xf>
    <xf numFmtId="10" fontId="8" fillId="6" borderId="32" xfId="4" applyNumberFormat="1" applyFont="1" applyFill="1" applyBorder="1" applyAlignment="1">
      <alignment horizontal="center" vertical="center"/>
    </xf>
    <xf numFmtId="0" fontId="8" fillId="2" borderId="17" xfId="4" applyFont="1" applyFill="1" applyBorder="1" applyAlignment="1">
      <alignment horizontal="right" vertical="center"/>
    </xf>
    <xf numFmtId="0" fontId="8" fillId="7" borderId="17" xfId="4" applyFont="1" applyFill="1" applyBorder="1" applyAlignment="1">
      <alignment horizontal="center" vertical="center"/>
    </xf>
    <xf numFmtId="0" fontId="3" fillId="2" borderId="0" xfId="4" applyFont="1" applyFill="1" applyAlignment="1">
      <alignment vertical="center"/>
    </xf>
    <xf numFmtId="0" fontId="9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/>
    </xf>
    <xf numFmtId="166" fontId="9" fillId="2" borderId="0" xfId="4" applyNumberFormat="1" applyFont="1" applyFill="1" applyAlignment="1" applyProtection="1">
      <alignment horizontal="center" vertical="center"/>
      <protection locked="0"/>
    </xf>
    <xf numFmtId="2" fontId="9" fillId="2" borderId="13" xfId="4" applyNumberFormat="1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8" fillId="2" borderId="13" xfId="4" applyFont="1" applyFill="1" applyBorder="1" applyAlignment="1">
      <alignment horizontal="center" vertical="center"/>
    </xf>
    <xf numFmtId="0" fontId="18" fillId="3" borderId="21" xfId="4" applyFont="1" applyFill="1" applyBorder="1" applyAlignment="1" applyProtection="1">
      <alignment horizontal="center" vertical="center"/>
      <protection locked="0"/>
    </xf>
    <xf numFmtId="2" fontId="8" fillId="2" borderId="21" xfId="4" applyNumberFormat="1" applyFont="1" applyFill="1" applyBorder="1" applyAlignment="1">
      <alignment horizontal="center" vertic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 vertical="center"/>
    </xf>
    <xf numFmtId="0" fontId="18" fillId="3" borderId="22" xfId="4" applyFont="1" applyFill="1" applyBorder="1" applyAlignment="1" applyProtection="1">
      <alignment horizontal="center" vertical="center"/>
      <protection locked="0"/>
    </xf>
    <xf numFmtId="2" fontId="8" fillId="2" borderId="22" xfId="4" applyNumberFormat="1" applyFont="1" applyFill="1" applyBorder="1" applyAlignment="1">
      <alignment horizontal="center" vertical="center"/>
    </xf>
    <xf numFmtId="10" fontId="8" fillId="2" borderId="14" xfId="4" applyNumberFormat="1" applyFont="1" applyFill="1" applyBorder="1" applyAlignment="1">
      <alignment horizontal="center" vertical="center"/>
    </xf>
    <xf numFmtId="0" fontId="8" fillId="2" borderId="15" xfId="4" applyFont="1" applyFill="1" applyBorder="1" applyAlignment="1">
      <alignment horizontal="center" vertical="center"/>
    </xf>
    <xf numFmtId="0" fontId="18" fillId="3" borderId="42" xfId="4" applyFont="1" applyFill="1" applyBorder="1" applyAlignment="1" applyProtection="1">
      <alignment horizontal="center" vertical="center"/>
      <protection locked="0"/>
    </xf>
    <xf numFmtId="2" fontId="8" fillId="2" borderId="13" xfId="4" applyNumberFormat="1" applyFont="1" applyFill="1" applyBorder="1" applyAlignment="1">
      <alignment horizontal="center" vertical="center"/>
    </xf>
    <xf numFmtId="10" fontId="8" fillId="2" borderId="24" xfId="4" applyNumberFormat="1" applyFont="1" applyFill="1" applyBorder="1" applyAlignment="1">
      <alignment horizontal="center" vertical="center"/>
    </xf>
    <xf numFmtId="2" fontId="8" fillId="2" borderId="14" xfId="4" applyNumberFormat="1" applyFont="1" applyFill="1" applyBorder="1" applyAlignment="1">
      <alignment horizontal="center" vertical="center"/>
    </xf>
    <xf numFmtId="10" fontId="8" fillId="2" borderId="23" xfId="4" applyNumberFormat="1" applyFont="1" applyFill="1" applyBorder="1" applyAlignment="1">
      <alignment horizontal="center" vertical="center"/>
    </xf>
    <xf numFmtId="2" fontId="8" fillId="2" borderId="15" xfId="4" applyNumberFormat="1" applyFont="1" applyFill="1" applyBorder="1" applyAlignment="1">
      <alignment horizontal="center" vertical="center"/>
    </xf>
    <xf numFmtId="10" fontId="8" fillId="2" borderId="50" xfId="4" applyNumberFormat="1" applyFont="1" applyFill="1" applyBorder="1" applyAlignment="1">
      <alignment horizontal="center" vertical="center"/>
    </xf>
    <xf numFmtId="0" fontId="8" fillId="2" borderId="42" xfId="4" applyFont="1" applyFill="1" applyBorder="1" applyAlignment="1">
      <alignment horizontal="right" vertical="center"/>
    </xf>
    <xf numFmtId="2" fontId="9" fillId="2" borderId="50" xfId="4" applyNumberFormat="1" applyFont="1" applyFill="1" applyBorder="1" applyAlignment="1">
      <alignment horizontal="center" vertic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33" xfId="4" applyFont="1" applyFill="1" applyBorder="1" applyAlignment="1">
      <alignment horizontal="right" vertical="center"/>
    </xf>
    <xf numFmtId="10" fontId="18" fillId="7" borderId="28" xfId="4" applyNumberFormat="1" applyFont="1" applyFill="1" applyBorder="1" applyAlignment="1">
      <alignment horizontal="center" vertical="center"/>
    </xf>
    <xf numFmtId="10" fontId="18" fillId="6" borderId="57" xfId="4" applyNumberFormat="1" applyFont="1" applyFill="1" applyBorder="1" applyAlignment="1">
      <alignment horizontal="center" vertical="center"/>
    </xf>
    <xf numFmtId="0" fontId="18" fillId="7" borderId="58" xfId="4" applyFont="1" applyFill="1" applyBorder="1" applyAlignment="1">
      <alignment horizontal="center" vertical="center"/>
    </xf>
    <xf numFmtId="165" fontId="18" fillId="2" borderId="0" xfId="4" applyNumberFormat="1" applyFont="1" applyFill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0" fontId="9" fillId="2" borderId="47" xfId="4" applyFont="1" applyFill="1" applyBorder="1" applyAlignment="1">
      <alignment horizontal="center" vertical="center"/>
    </xf>
    <xf numFmtId="0" fontId="9" fillId="2" borderId="25" xfId="4" applyFont="1" applyFill="1" applyBorder="1" applyAlignment="1">
      <alignment horizontal="center" vertical="center"/>
    </xf>
    <xf numFmtId="0" fontId="18" fillId="3" borderId="55" xfId="4" applyFont="1" applyFill="1" applyBorder="1" applyAlignment="1" applyProtection="1">
      <alignment horizontal="center"/>
      <protection locked="0"/>
    </xf>
    <xf numFmtId="170" fontId="8" fillId="2" borderId="38" xfId="4" applyNumberFormat="1" applyFont="1" applyFill="1" applyBorder="1" applyAlignment="1">
      <alignment horizontal="center" vertical="center"/>
    </xf>
    <xf numFmtId="170" fontId="8" fillId="2" borderId="26" xfId="4" applyNumberFormat="1" applyFont="1" applyFill="1" applyBorder="1" applyAlignment="1">
      <alignment horizontal="center" vertical="center"/>
    </xf>
    <xf numFmtId="0" fontId="18" fillId="3" borderId="22" xfId="4" applyFont="1" applyFill="1" applyBorder="1" applyAlignment="1" applyProtection="1">
      <alignment horizontal="center"/>
      <protection locked="0"/>
    </xf>
    <xf numFmtId="170" fontId="8" fillId="2" borderId="39" xfId="4" applyNumberFormat="1" applyFont="1" applyFill="1" applyBorder="1" applyAlignment="1">
      <alignment horizontal="center" vertical="center"/>
    </xf>
    <xf numFmtId="170" fontId="8" fillId="2" borderId="48" xfId="4" applyNumberFormat="1" applyFont="1" applyFill="1" applyBorder="1" applyAlignment="1">
      <alignment horizontal="center" vertical="center"/>
    </xf>
    <xf numFmtId="0" fontId="18" fillId="3" borderId="29" xfId="4" applyFont="1" applyFill="1" applyBorder="1" applyAlignment="1" applyProtection="1">
      <alignment horizontal="center" vertical="center"/>
      <protection locked="0"/>
    </xf>
    <xf numFmtId="170" fontId="8" fillId="2" borderId="40" xfId="4" applyNumberFormat="1" applyFont="1" applyFill="1" applyBorder="1" applyAlignment="1">
      <alignment horizontal="center" vertical="center"/>
    </xf>
    <xf numFmtId="1" fontId="18" fillId="3" borderId="29" xfId="4" applyNumberFormat="1" applyFont="1" applyFill="1" applyBorder="1" applyAlignment="1" applyProtection="1">
      <alignment horizontal="center" vertical="center"/>
      <protection locked="0"/>
    </xf>
    <xf numFmtId="170" fontId="8" fillId="2" borderId="49" xfId="4" applyNumberFormat="1" applyFont="1" applyFill="1" applyBorder="1" applyAlignment="1">
      <alignment horizontal="center" vertical="center"/>
    </xf>
    <xf numFmtId="170" fontId="9" fillId="6" borderId="46" xfId="4" applyNumberFormat="1" applyFont="1" applyFill="1" applyBorder="1" applyAlignment="1">
      <alignment horizontal="center" vertical="center"/>
    </xf>
    <xf numFmtId="170" fontId="9" fillId="6" borderId="15" xfId="4" applyNumberFormat="1" applyFont="1" applyFill="1" applyBorder="1" applyAlignment="1">
      <alignment horizontal="center" vertical="center"/>
    </xf>
    <xf numFmtId="0" fontId="8" fillId="2" borderId="50" xfId="4" applyFont="1" applyFill="1" applyBorder="1" applyAlignment="1">
      <alignment horizontal="center" vertical="center"/>
    </xf>
    <xf numFmtId="164" fontId="8" fillId="6" borderId="41" xfId="4" applyNumberFormat="1" applyFont="1" applyFill="1" applyBorder="1" applyAlignment="1">
      <alignment horizontal="center" vertical="center"/>
    </xf>
    <xf numFmtId="164" fontId="8" fillId="2" borderId="0" xfId="4" applyNumberFormat="1" applyFont="1" applyFill="1" applyAlignment="1">
      <alignment horizontal="center" vertical="center"/>
    </xf>
    <xf numFmtId="164" fontId="8" fillId="6" borderId="17" xfId="4" applyNumberFormat="1" applyFont="1" applyFill="1" applyBorder="1" applyAlignment="1">
      <alignment horizontal="center" vertical="center"/>
    </xf>
    <xf numFmtId="0" fontId="2" fillId="2" borderId="0" xfId="4" applyFont="1" applyFill="1" applyAlignment="1">
      <alignment vertical="center"/>
    </xf>
    <xf numFmtId="166" fontId="8" fillId="7" borderId="41" xfId="4" applyNumberFormat="1" applyFont="1" applyFill="1" applyBorder="1" applyAlignment="1">
      <alignment horizontal="center" vertical="center"/>
    </xf>
    <xf numFmtId="2" fontId="2" fillId="2" borderId="0" xfId="4" applyNumberFormat="1" applyFont="1" applyFill="1" applyAlignment="1">
      <alignment horizontal="center" vertical="center"/>
    </xf>
    <xf numFmtId="2" fontId="8" fillId="7" borderId="26" xfId="4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wrapText="1"/>
    </xf>
    <xf numFmtId="10" fontId="8" fillId="2" borderId="0" xfId="4" applyNumberFormat="1" applyFont="1" applyFill="1" applyAlignment="1">
      <alignment horizontal="center"/>
    </xf>
    <xf numFmtId="10" fontId="9" fillId="6" borderId="32" xfId="4" applyNumberFormat="1" applyFont="1" applyFill="1" applyBorder="1" applyAlignment="1">
      <alignment horizontal="center" vertical="center"/>
    </xf>
    <xf numFmtId="0" fontId="9" fillId="7" borderId="17" xfId="4" applyFont="1" applyFill="1" applyBorder="1" applyAlignment="1">
      <alignment horizontal="center" vertical="center"/>
    </xf>
    <xf numFmtId="0" fontId="9" fillId="2" borderId="36" xfId="4" applyFont="1" applyFill="1" applyBorder="1" applyAlignment="1">
      <alignment horizontal="center" vertical="center"/>
    </xf>
    <xf numFmtId="0" fontId="9" fillId="2" borderId="37" xfId="4" applyFont="1" applyFill="1" applyBorder="1" applyAlignment="1">
      <alignment vertical="center"/>
    </xf>
    <xf numFmtId="0" fontId="9" fillId="2" borderId="24" xfId="4" applyFont="1" applyFill="1" applyBorder="1" applyAlignment="1">
      <alignment horizontal="center" vertical="center" wrapText="1"/>
    </xf>
    <xf numFmtId="0" fontId="8" fillId="2" borderId="22" xfId="4" applyFont="1" applyFill="1" applyBorder="1" applyAlignment="1">
      <alignment horizontal="center" vertical="center"/>
    </xf>
    <xf numFmtId="1" fontId="18" fillId="3" borderId="39" xfId="4" applyNumberFormat="1" applyFont="1" applyFill="1" applyBorder="1" applyAlignment="1" applyProtection="1">
      <alignment horizontal="center"/>
      <protection locked="0"/>
    </xf>
    <xf numFmtId="2" fontId="8" fillId="2" borderId="38" xfId="4" applyNumberFormat="1" applyFont="1" applyFill="1" applyBorder="1" applyAlignment="1">
      <alignment horizontal="center" vertical="center"/>
    </xf>
    <xf numFmtId="10" fontId="8" fillId="2" borderId="26" xfId="4" applyNumberFormat="1" applyFont="1" applyFill="1" applyBorder="1" applyAlignment="1">
      <alignment horizontal="center" vertical="center"/>
    </xf>
    <xf numFmtId="2" fontId="8" fillId="2" borderId="39" xfId="4" applyNumberFormat="1" applyFont="1" applyFill="1" applyBorder="1" applyAlignment="1">
      <alignment horizontal="center" vertical="center"/>
    </xf>
    <xf numFmtId="10" fontId="8" fillId="2" borderId="48" xfId="4" applyNumberFormat="1" applyFont="1" applyFill="1" applyBorder="1" applyAlignment="1">
      <alignment horizontal="center" vertical="center"/>
    </xf>
    <xf numFmtId="0" fontId="8" fillId="2" borderId="29" xfId="4" applyFont="1" applyFill="1" applyBorder="1" applyAlignment="1">
      <alignment horizontal="center" vertical="center"/>
    </xf>
    <xf numFmtId="1" fontId="18" fillId="3" borderId="40" xfId="4" applyNumberFormat="1" applyFont="1" applyFill="1" applyBorder="1" applyAlignment="1" applyProtection="1">
      <alignment horizontal="center"/>
      <protection locked="0"/>
    </xf>
    <xf numFmtId="2" fontId="8" fillId="2" borderId="40" xfId="4" applyNumberFormat="1" applyFont="1" applyFill="1" applyBorder="1" applyAlignment="1">
      <alignment horizontal="center" vertical="center"/>
    </xf>
    <xf numFmtId="10" fontId="8" fillId="2" borderId="49" xfId="4" applyNumberFormat="1" applyFont="1" applyFill="1" applyBorder="1" applyAlignment="1">
      <alignment horizontal="center" vertical="center"/>
    </xf>
    <xf numFmtId="2" fontId="8" fillId="2" borderId="23" xfId="4" applyNumberFormat="1" applyFont="1" applyFill="1" applyBorder="1" applyAlignment="1">
      <alignment horizontal="center" vertical="center"/>
    </xf>
    <xf numFmtId="170" fontId="9" fillId="2" borderId="0" xfId="4" applyNumberFormat="1" applyFont="1" applyFill="1" applyAlignment="1">
      <alignment horizontal="center" vertical="center"/>
    </xf>
    <xf numFmtId="170" fontId="8" fillId="2" borderId="2" xfId="4" applyNumberFormat="1" applyFont="1" applyFill="1" applyBorder="1" applyAlignment="1">
      <alignment horizontal="right" vertical="center"/>
    </xf>
    <xf numFmtId="10" fontId="18" fillId="7" borderId="41" xfId="4" applyNumberFormat="1" applyFont="1" applyFill="1" applyBorder="1" applyAlignment="1">
      <alignment horizontal="center" vertical="center"/>
    </xf>
    <xf numFmtId="0" fontId="8" fillId="2" borderId="22" xfId="4" applyFont="1" applyFill="1" applyBorder="1" applyAlignment="1">
      <alignment vertical="center"/>
    </xf>
    <xf numFmtId="0" fontId="8" fillId="2" borderId="6" xfId="4" applyFont="1" applyFill="1" applyBorder="1" applyAlignment="1">
      <alignment vertical="center"/>
    </xf>
    <xf numFmtId="10" fontId="18" fillId="6" borderId="41" xfId="4" applyNumberFormat="1" applyFont="1" applyFill="1" applyBorder="1" applyAlignment="1">
      <alignment horizontal="center" vertical="center"/>
    </xf>
    <xf numFmtId="0" fontId="8" fillId="2" borderId="42" xfId="4" applyFont="1" applyFill="1" applyBorder="1" applyAlignment="1">
      <alignment vertical="center"/>
    </xf>
    <xf numFmtId="0" fontId="8" fillId="2" borderId="43" xfId="4" applyFont="1" applyFill="1" applyBorder="1" applyAlignment="1">
      <alignment horizontal="center" vertical="center"/>
    </xf>
    <xf numFmtId="0" fontId="8" fillId="2" borderId="44" xfId="4" applyFont="1" applyFill="1" applyBorder="1" applyAlignment="1">
      <alignment horizontal="right" vertical="center"/>
    </xf>
    <xf numFmtId="0" fontId="18" fillId="7" borderId="17" xfId="4" applyFont="1" applyFill="1" applyBorder="1" applyAlignment="1">
      <alignment horizontal="center" vertical="center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9" fillId="3" borderId="0" xfId="4" applyFont="1" applyFill="1" applyAlignment="1" applyProtection="1">
      <alignment horizontal="center"/>
      <protection locked="0"/>
    </xf>
    <xf numFmtId="0" fontId="8" fillId="2" borderId="0" xfId="4" applyFont="1" applyFill="1" applyAlignment="1">
      <alignment horizontal="right"/>
    </xf>
    <xf numFmtId="0" fontId="9" fillId="2" borderId="0" xfId="4" applyFont="1" applyFill="1" applyAlignment="1">
      <alignment horizontal="center"/>
    </xf>
    <xf numFmtId="0" fontId="11" fillId="2" borderId="0" xfId="4" applyFont="1" applyFill="1"/>
    <xf numFmtId="0" fontId="12" fillId="2" borderId="0" xfId="4" applyFont="1" applyFill="1"/>
    <xf numFmtId="0" fontId="8" fillId="2" borderId="21" xfId="4" applyFont="1" applyFill="1" applyBorder="1" applyAlignment="1">
      <alignment horizontal="right"/>
    </xf>
    <xf numFmtId="0" fontId="18" fillId="3" borderId="62" xfId="4" applyFont="1" applyFill="1" applyBorder="1" applyAlignment="1" applyProtection="1">
      <alignment horizontal="center" vertical="center"/>
      <protection locked="0"/>
    </xf>
    <xf numFmtId="0" fontId="8" fillId="2" borderId="22" xfId="4" applyFont="1" applyFill="1" applyBorder="1" applyAlignment="1">
      <alignment horizontal="right"/>
    </xf>
    <xf numFmtId="0" fontId="18" fillId="3" borderId="48" xfId="4" applyFont="1" applyFill="1" applyBorder="1" applyAlignment="1" applyProtection="1">
      <alignment horizontal="center" vertical="center"/>
      <protection locked="0"/>
    </xf>
    <xf numFmtId="0" fontId="9" fillId="2" borderId="10" xfId="4" applyFont="1" applyFill="1" applyBorder="1" applyAlignment="1">
      <alignment horizontal="center"/>
    </xf>
    <xf numFmtId="0" fontId="9" fillId="2" borderId="51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8" fillId="2" borderId="45" xfId="4" applyFont="1" applyFill="1" applyBorder="1" applyAlignment="1">
      <alignment horizontal="center"/>
    </xf>
    <xf numFmtId="170" fontId="8" fillId="2" borderId="26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170" fontId="8" fillId="2" borderId="48" xfId="4" applyNumberFormat="1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0" fontId="8" fillId="2" borderId="49" xfId="4" applyNumberFormat="1" applyFont="1" applyFill="1" applyBorder="1" applyAlignment="1">
      <alignment horizontal="center"/>
    </xf>
    <xf numFmtId="1" fontId="9" fillId="6" borderId="46" xfId="4" applyNumberFormat="1" applyFont="1" applyFill="1" applyBorder="1" applyAlignment="1">
      <alignment horizontal="center"/>
    </xf>
    <xf numFmtId="170" fontId="9" fillId="6" borderId="31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0" fontId="8" fillId="2" borderId="52" xfId="4" applyFont="1" applyFill="1" applyBorder="1" applyAlignment="1">
      <alignment horizontal="right"/>
    </xf>
    <xf numFmtId="0" fontId="18" fillId="3" borderId="13" xfId="4" applyFont="1" applyFill="1" applyBorder="1" applyAlignment="1" applyProtection="1">
      <alignment horizontal="center" vertic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2" fontId="8" fillId="6" borderId="32" xfId="4" applyNumberFormat="1" applyFont="1" applyFill="1" applyBorder="1" applyAlignment="1">
      <alignment horizontal="center"/>
    </xf>
    <xf numFmtId="170" fontId="8" fillId="2" borderId="31" xfId="4" applyNumberFormat="1" applyFont="1" applyFill="1" applyBorder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2" fontId="8" fillId="7" borderId="32" xfId="4" applyNumberFormat="1" applyFont="1" applyFill="1" applyBorder="1" applyAlignment="1">
      <alignment horizontal="center"/>
    </xf>
    <xf numFmtId="2" fontId="8" fillId="6" borderId="17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1" fontId="8" fillId="2" borderId="0" xfId="4" applyNumberFormat="1" applyFont="1" applyFill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30" xfId="4" applyFont="1" applyFill="1" applyBorder="1" applyAlignment="1">
      <alignment horizontal="right"/>
    </xf>
    <xf numFmtId="2" fontId="8" fillId="7" borderId="59" xfId="4" applyNumberFormat="1" applyFont="1" applyFill="1" applyBorder="1" applyAlignment="1">
      <alignment horizontal="center"/>
    </xf>
    <xf numFmtId="170" fontId="8" fillId="2" borderId="0" xfId="4" applyNumberFormat="1" applyFont="1" applyFill="1" applyAlignment="1">
      <alignment horizontal="center"/>
    </xf>
    <xf numFmtId="0" fontId="8" fillId="2" borderId="33" xfId="4" applyFont="1" applyFill="1" applyBorder="1" applyAlignment="1">
      <alignment horizontal="right"/>
    </xf>
    <xf numFmtId="170" fontId="9" fillId="7" borderId="33" xfId="4" applyNumberFormat="1" applyFont="1" applyFill="1" applyBorder="1" applyAlignment="1">
      <alignment horizontal="center"/>
    </xf>
    <xf numFmtId="0" fontId="8" fillId="2" borderId="32" xfId="4" applyFont="1" applyFill="1" applyBorder="1" applyAlignment="1">
      <alignment horizontal="right"/>
    </xf>
    <xf numFmtId="10" fontId="9" fillId="6" borderId="32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9" fillId="7" borderId="17" xfId="4" applyFont="1" applyFill="1" applyBorder="1" applyAlignment="1">
      <alignment horizontal="center"/>
    </xf>
    <xf numFmtId="0" fontId="3" fillId="2" borderId="0" xfId="4" applyFont="1" applyFill="1"/>
    <xf numFmtId="0" fontId="9" fillId="2" borderId="35" xfId="4" applyFont="1" applyFill="1" applyBorder="1" applyAlignment="1">
      <alignment horizontal="center"/>
    </xf>
    <xf numFmtId="0" fontId="9" fillId="2" borderId="37" xfId="4" applyFont="1" applyFill="1" applyBorder="1" applyAlignment="1">
      <alignment horizontal="center"/>
    </xf>
    <xf numFmtId="0" fontId="9" fillId="2" borderId="37" xfId="4" applyFont="1" applyFill="1" applyBorder="1"/>
    <xf numFmtId="0" fontId="9" fillId="2" borderId="24" xfId="4" applyFont="1" applyFill="1" applyBorder="1" applyAlignment="1">
      <alignment horizontal="center" wrapText="1"/>
    </xf>
    <xf numFmtId="0" fontId="8" fillId="2" borderId="22" xfId="4" applyFont="1" applyFill="1" applyBorder="1" applyAlignment="1">
      <alignment horizontal="center"/>
    </xf>
    <xf numFmtId="0" fontId="18" fillId="3" borderId="38" xfId="4" applyFont="1" applyFill="1" applyBorder="1" applyAlignment="1" applyProtection="1">
      <alignment horizontal="center" vertical="center"/>
      <protection locked="0"/>
    </xf>
    <xf numFmtId="2" fontId="8" fillId="2" borderId="4" xfId="4" applyNumberFormat="1" applyFont="1" applyFill="1" applyBorder="1" applyAlignment="1">
      <alignment horizontal="center"/>
    </xf>
    <xf numFmtId="10" fontId="8" fillId="2" borderId="27" xfId="4" applyNumberFormat="1" applyFont="1" applyFill="1" applyBorder="1" applyAlignment="1">
      <alignment horizontal="center"/>
    </xf>
    <xf numFmtId="0" fontId="18" fillId="3" borderId="39" xfId="4" applyFont="1" applyFill="1" applyBorder="1" applyAlignment="1" applyProtection="1">
      <alignment horizontal="center" vertical="center"/>
      <protection locked="0"/>
    </xf>
    <xf numFmtId="2" fontId="8" fillId="2" borderId="3" xfId="4" applyNumberFormat="1" applyFont="1" applyFill="1" applyBorder="1" applyAlignment="1">
      <alignment horizontal="center"/>
    </xf>
    <xf numFmtId="10" fontId="8" fillId="2" borderId="23" xfId="4" applyNumberFormat="1" applyFont="1" applyFill="1" applyBorder="1" applyAlignment="1">
      <alignment horizontal="center"/>
    </xf>
    <xf numFmtId="0" fontId="8" fillId="2" borderId="29" xfId="4" applyFont="1" applyFill="1" applyBorder="1" applyAlignment="1">
      <alignment horizontal="center"/>
    </xf>
    <xf numFmtId="0" fontId="18" fillId="3" borderId="40" xfId="4" applyFont="1" applyFill="1" applyBorder="1" applyAlignment="1" applyProtection="1">
      <alignment horizontal="center" vertical="center"/>
      <protection locked="0"/>
    </xf>
    <xf numFmtId="2" fontId="8" fillId="2" borderId="5" xfId="4" applyNumberFormat="1" applyFont="1" applyFill="1" applyBorder="1" applyAlignment="1">
      <alignment horizontal="center"/>
    </xf>
    <xf numFmtId="10" fontId="8" fillId="2" borderId="28" xfId="4" applyNumberFormat="1" applyFont="1" applyFill="1" applyBorder="1" applyAlignment="1">
      <alignment horizontal="center"/>
    </xf>
    <xf numFmtId="2" fontId="8" fillId="2" borderId="23" xfId="4" applyNumberFormat="1" applyFont="1" applyFill="1" applyBorder="1" applyAlignment="1">
      <alignment horizontal="center"/>
    </xf>
    <xf numFmtId="170" fontId="9" fillId="2" borderId="0" xfId="4" applyNumberFormat="1" applyFont="1" applyFill="1" applyAlignment="1">
      <alignment horizontal="center"/>
    </xf>
    <xf numFmtId="170" fontId="8" fillId="2" borderId="1" xfId="4" applyNumberFormat="1" applyFont="1" applyFill="1" applyBorder="1" applyAlignment="1">
      <alignment horizontal="right"/>
    </xf>
    <xf numFmtId="10" fontId="18" fillId="7" borderId="57" xfId="4" applyNumberFormat="1" applyFont="1" applyFill="1" applyBorder="1" applyAlignment="1">
      <alignment horizontal="center"/>
    </xf>
    <xf numFmtId="0" fontId="8" fillId="2" borderId="22" xfId="4" applyFont="1" applyFill="1" applyBorder="1"/>
    <xf numFmtId="0" fontId="8" fillId="2" borderId="1" xfId="4" applyFont="1" applyFill="1" applyBorder="1" applyAlignment="1">
      <alignment horizontal="right"/>
    </xf>
    <xf numFmtId="10" fontId="18" fillId="6" borderId="57" xfId="4" applyNumberFormat="1" applyFont="1" applyFill="1" applyBorder="1" applyAlignment="1">
      <alignment horizontal="center"/>
    </xf>
    <xf numFmtId="0" fontId="8" fillId="2" borderId="42" xfId="4" applyFont="1" applyFill="1" applyBorder="1"/>
    <xf numFmtId="0" fontId="8" fillId="2" borderId="9" xfId="4" applyFont="1" applyFill="1" applyBorder="1" applyAlignment="1">
      <alignment horizontal="center"/>
    </xf>
    <xf numFmtId="0" fontId="8" fillId="2" borderId="61" xfId="4" applyFont="1" applyFill="1" applyBorder="1" applyAlignment="1">
      <alignment horizontal="right"/>
    </xf>
    <xf numFmtId="0" fontId="18" fillId="7" borderId="58" xfId="4" applyFont="1" applyFill="1" applyBorder="1" applyAlignment="1">
      <alignment horizontal="center"/>
    </xf>
    <xf numFmtId="170" fontId="8" fillId="2" borderId="35" xfId="4" applyNumberFormat="1" applyFont="1" applyFill="1" applyBorder="1" applyAlignment="1">
      <alignment horizontal="right"/>
    </xf>
    <xf numFmtId="165" fontId="18" fillId="7" borderId="56" xfId="4" applyNumberFormat="1" applyFont="1" applyFill="1" applyBorder="1" applyAlignment="1">
      <alignment horizontal="center"/>
    </xf>
    <xf numFmtId="165" fontId="18" fillId="6" borderId="41" xfId="4" applyNumberFormat="1" applyFont="1" applyFill="1" applyBorder="1" applyAlignment="1">
      <alignment horizontal="center"/>
    </xf>
    <xf numFmtId="0" fontId="8" fillId="2" borderId="60" xfId="4" applyFont="1" applyFill="1" applyBorder="1" applyAlignment="1">
      <alignment horizontal="right"/>
    </xf>
    <xf numFmtId="0" fontId="18" fillId="7" borderId="59" xfId="4" applyFont="1" applyFill="1" applyBorder="1" applyAlignment="1">
      <alignment horizontal="center"/>
    </xf>
    <xf numFmtId="0" fontId="14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 applyAlignment="1">
      <alignment vertical="center"/>
    </xf>
    <xf numFmtId="0" fontId="8" fillId="2" borderId="10" xfId="4" applyFont="1" applyFill="1" applyBorder="1" applyAlignment="1">
      <alignment horizontal="center" vertical="center"/>
    </xf>
    <xf numFmtId="0" fontId="8" fillId="2" borderId="7" xfId="4" applyFont="1" applyFill="1" applyBorder="1" applyAlignment="1" applyProtection="1">
      <alignment vertical="center"/>
      <protection locked="0"/>
    </xf>
    <xf numFmtId="0" fontId="8" fillId="2" borderId="7" xfId="4" applyFont="1" applyFill="1" applyBorder="1" applyAlignment="1">
      <alignment vertical="center"/>
    </xf>
    <xf numFmtId="0" fontId="9" fillId="2" borderId="11" xfId="4" applyFont="1" applyFill="1" applyBorder="1" applyAlignment="1" applyProtection="1">
      <alignment vertical="center"/>
      <protection locked="0"/>
    </xf>
    <xf numFmtId="0" fontId="9" fillId="2" borderId="11" xfId="4" applyFont="1" applyFill="1" applyBorder="1" applyAlignment="1">
      <alignment vertical="center"/>
    </xf>
    <xf numFmtId="0" fontId="8" fillId="2" borderId="11" xfId="4" applyFont="1" applyFill="1" applyBorder="1" applyAlignment="1">
      <alignment vertic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9" fillId="2" borderId="0" xfId="1" applyFont="1" applyFill="1" applyAlignment="1">
      <alignment horizontal="center"/>
    </xf>
    <xf numFmtId="166" fontId="24" fillId="2" borderId="13" xfId="1" applyNumberFormat="1" applyFont="1" applyFill="1" applyBorder="1" applyAlignment="1">
      <alignment horizontal="center" vertical="center"/>
    </xf>
    <xf numFmtId="166" fontId="24" fillId="2" borderId="15" xfId="1" applyNumberFormat="1" applyFont="1" applyFill="1" applyBorder="1" applyAlignment="1">
      <alignment horizontal="center" vertical="center"/>
    </xf>
    <xf numFmtId="0" fontId="30" fillId="2" borderId="18" xfId="1" applyFont="1" applyFill="1" applyBorder="1" applyAlignment="1">
      <alignment horizontal="center" wrapText="1"/>
    </xf>
    <xf numFmtId="0" fontId="30" fillId="2" borderId="19" xfId="1" applyFont="1" applyFill="1" applyBorder="1" applyAlignment="1">
      <alignment horizontal="center" wrapText="1"/>
    </xf>
    <xf numFmtId="0" fontId="30" fillId="2" borderId="20" xfId="1" applyFont="1" applyFill="1" applyBorder="1" applyAlignment="1">
      <alignment horizontal="center" wrapText="1"/>
    </xf>
    <xf numFmtId="164" fontId="25" fillId="2" borderId="0" xfId="1" applyNumberFormat="1" applyFont="1" applyFill="1" applyAlignment="1">
      <alignment horizontal="center"/>
    </xf>
    <xf numFmtId="0" fontId="14" fillId="2" borderId="18" xfId="1" applyFont="1" applyFill="1" applyBorder="1" applyAlignment="1">
      <alignment horizontal="left" vertical="center" wrapText="1"/>
    </xf>
    <xf numFmtId="0" fontId="14" fillId="2" borderId="19" xfId="1" applyFont="1" applyFill="1" applyBorder="1" applyAlignment="1">
      <alignment horizontal="left" vertical="center" wrapText="1"/>
    </xf>
    <xf numFmtId="0" fontId="14" fillId="2" borderId="20" xfId="1" applyFont="1" applyFill="1" applyBorder="1" applyAlignment="1">
      <alignment horizontal="left" vertical="center" wrapText="1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9" fillId="3" borderId="0" xfId="1" applyFont="1" applyFill="1" applyAlignment="1" applyProtection="1">
      <alignment horizontal="left"/>
      <protection locked="0"/>
    </xf>
    <xf numFmtId="0" fontId="14" fillId="2" borderId="18" xfId="1" applyFont="1" applyFill="1" applyBorder="1" applyAlignment="1">
      <alignment horizontal="justify" vertical="center" wrapText="1"/>
    </xf>
    <xf numFmtId="0" fontId="14" fillId="2" borderId="19" xfId="1" applyFont="1" applyFill="1" applyBorder="1" applyAlignment="1">
      <alignment horizontal="justify" vertical="center" wrapText="1"/>
    </xf>
    <xf numFmtId="0" fontId="14" fillId="2" borderId="20" xfId="1" applyFont="1" applyFill="1" applyBorder="1" applyAlignment="1">
      <alignment horizontal="justify" vertical="center" wrapText="1"/>
    </xf>
    <xf numFmtId="0" fontId="9" fillId="2" borderId="35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14" fillId="2" borderId="21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42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32" fillId="3" borderId="13" xfId="0" applyNumberFormat="1" applyFont="1" applyFill="1" applyBorder="1" applyAlignment="1" applyProtection="1">
      <alignment horizontal="center" vertical="center"/>
      <protection locked="0"/>
    </xf>
    <xf numFmtId="2" fontId="32" fillId="3" borderId="14" xfId="0" applyNumberFormat="1" applyFont="1" applyFill="1" applyBorder="1" applyAlignment="1" applyProtection="1">
      <alignment horizontal="center" vertical="center"/>
      <protection locked="0"/>
    </xf>
    <xf numFmtId="2" fontId="32" fillId="3" borderId="15" xfId="0" applyNumberFormat="1" applyFont="1" applyFill="1" applyBorder="1" applyAlignment="1" applyProtection="1">
      <alignment horizontal="center" vertical="center"/>
      <protection locked="0"/>
    </xf>
    <xf numFmtId="0" fontId="14" fillId="2" borderId="24" xfId="1" applyFont="1" applyFill="1" applyBorder="1" applyAlignment="1">
      <alignment horizontal="left" vertical="center" wrapText="1"/>
    </xf>
    <xf numFmtId="0" fontId="14" fillId="2" borderId="50" xfId="1" applyFont="1" applyFill="1" applyBorder="1" applyAlignment="1">
      <alignment horizontal="left" vertical="center" wrapText="1"/>
    </xf>
    <xf numFmtId="0" fontId="9" fillId="2" borderId="42" xfId="1" applyFont="1" applyFill="1" applyBorder="1" applyAlignment="1">
      <alignment horizontal="center" vertical="center"/>
    </xf>
    <xf numFmtId="0" fontId="14" fillId="2" borderId="21" xfId="1" applyFont="1" applyFill="1" applyBorder="1" applyAlignment="1">
      <alignment horizontal="center" vertical="center" wrapText="1"/>
    </xf>
    <xf numFmtId="0" fontId="14" fillId="2" borderId="24" xfId="1" applyFont="1" applyFill="1" applyBorder="1" applyAlignment="1">
      <alignment horizontal="center" vertical="center" wrapText="1"/>
    </xf>
    <xf numFmtId="0" fontId="14" fillId="2" borderId="42" xfId="1" applyFont="1" applyFill="1" applyBorder="1" applyAlignment="1">
      <alignment horizontal="center" vertical="center" wrapText="1"/>
    </xf>
    <xf numFmtId="0" fontId="14" fillId="2" borderId="50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2" fontId="18" fillId="3" borderId="13" xfId="1" applyNumberFormat="1" applyFont="1" applyFill="1" applyBorder="1" applyAlignment="1" applyProtection="1">
      <alignment horizontal="center" vertical="center"/>
      <protection locked="0"/>
    </xf>
    <xf numFmtId="2" fontId="18" fillId="3" borderId="14" xfId="1" applyNumberFormat="1" applyFont="1" applyFill="1" applyBorder="1" applyAlignment="1" applyProtection="1">
      <alignment horizontal="center" vertical="center"/>
      <protection locked="0"/>
    </xf>
    <xf numFmtId="2" fontId="18" fillId="3" borderId="15" xfId="1" applyNumberFormat="1" applyFont="1" applyFill="1" applyBorder="1" applyAlignment="1" applyProtection="1">
      <alignment horizontal="center" vertical="center"/>
      <protection locked="0"/>
    </xf>
    <xf numFmtId="0" fontId="14" fillId="2" borderId="21" xfId="4" applyFont="1" applyFill="1" applyBorder="1" applyAlignment="1">
      <alignment horizontal="left" vertical="center" wrapText="1"/>
    </xf>
    <xf numFmtId="0" fontId="14" fillId="2" borderId="24" xfId="4" applyFont="1" applyFill="1" applyBorder="1" applyAlignment="1">
      <alignment horizontal="left" vertical="center" wrapText="1"/>
    </xf>
    <xf numFmtId="0" fontId="14" fillId="2" borderId="42" xfId="4" applyFont="1" applyFill="1" applyBorder="1" applyAlignment="1">
      <alignment horizontal="left" vertical="center" wrapText="1"/>
    </xf>
    <xf numFmtId="0" fontId="14" fillId="2" borderId="50" xfId="4" applyFont="1" applyFill="1" applyBorder="1" applyAlignment="1">
      <alignment horizontal="left" vertical="center" wrapText="1"/>
    </xf>
    <xf numFmtId="0" fontId="9" fillId="2" borderId="0" xfId="4" applyFont="1" applyFill="1" applyAlignment="1">
      <alignment horizontal="center" vertical="center"/>
    </xf>
    <xf numFmtId="0" fontId="9" fillId="2" borderId="10" xfId="4" applyFont="1" applyFill="1" applyBorder="1" applyAlignment="1">
      <alignment horizontal="center" vertical="center"/>
    </xf>
    <xf numFmtId="0" fontId="14" fillId="2" borderId="18" xfId="4" applyFont="1" applyFill="1" applyBorder="1" applyAlignment="1">
      <alignment horizontal="justify" vertical="center" wrapText="1"/>
    </xf>
    <xf numFmtId="0" fontId="14" fillId="2" borderId="19" xfId="4" applyFont="1" applyFill="1" applyBorder="1" applyAlignment="1">
      <alignment horizontal="justify" vertical="center" wrapText="1"/>
    </xf>
    <xf numFmtId="0" fontId="14" fillId="2" borderId="20" xfId="4" applyFont="1" applyFill="1" applyBorder="1" applyAlignment="1">
      <alignment horizontal="justify" vertical="center" wrapText="1"/>
    </xf>
    <xf numFmtId="0" fontId="14" fillId="2" borderId="18" xfId="4" applyFont="1" applyFill="1" applyBorder="1" applyAlignment="1">
      <alignment horizontal="left" vertical="center" wrapText="1"/>
    </xf>
    <xf numFmtId="0" fontId="14" fillId="2" borderId="19" xfId="4" applyFont="1" applyFill="1" applyBorder="1" applyAlignment="1">
      <alignment horizontal="left" vertical="center" wrapText="1"/>
    </xf>
    <xf numFmtId="0" fontId="14" fillId="2" borderId="20" xfId="4" applyFont="1" applyFill="1" applyBorder="1" applyAlignment="1">
      <alignment horizontal="left" vertical="center" wrapText="1"/>
    </xf>
    <xf numFmtId="0" fontId="9" fillId="2" borderId="35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14" fillId="2" borderId="10" xfId="4" applyFont="1" applyFill="1" applyBorder="1" applyAlignment="1">
      <alignment horizontal="left" vertical="center" wrapText="1"/>
    </xf>
    <xf numFmtId="0" fontId="14" fillId="2" borderId="9" xfId="4" applyFont="1" applyFill="1" applyBorder="1" applyAlignment="1">
      <alignment horizontal="left" vertical="center" wrapText="1"/>
    </xf>
    <xf numFmtId="0" fontId="9" fillId="2" borderId="35" xfId="4" applyFont="1" applyFill="1" applyBorder="1" applyAlignment="1">
      <alignment horizontal="center" vertical="center"/>
    </xf>
    <xf numFmtId="0" fontId="9" fillId="2" borderId="54" xfId="4" applyFont="1" applyFill="1" applyBorder="1" applyAlignment="1">
      <alignment horizontal="center" vertical="center"/>
    </xf>
    <xf numFmtId="0" fontId="9" fillId="2" borderId="42" xfId="4" applyFont="1" applyFill="1" applyBorder="1" applyAlignment="1">
      <alignment horizontal="center" vertical="center"/>
    </xf>
    <xf numFmtId="2" fontId="18" fillId="3" borderId="13" xfId="4" applyNumberFormat="1" applyFont="1" applyFill="1" applyBorder="1" applyAlignment="1" applyProtection="1">
      <alignment horizontal="center" vertical="center"/>
      <protection locked="0"/>
    </xf>
    <xf numFmtId="2" fontId="18" fillId="3" borderId="14" xfId="4" applyNumberFormat="1" applyFont="1" applyFill="1" applyBorder="1" applyAlignment="1" applyProtection="1">
      <alignment horizontal="center" vertical="center"/>
      <protection locked="0"/>
    </xf>
    <xf numFmtId="2" fontId="18" fillId="3" borderId="15" xfId="4" applyNumberFormat="1" applyFont="1" applyFill="1" applyBorder="1" applyAlignment="1" applyProtection="1">
      <alignment horizontal="center" vertical="center"/>
      <protection locked="0"/>
    </xf>
    <xf numFmtId="0" fontId="18" fillId="3" borderId="0" xfId="4" applyFont="1" applyFill="1" applyAlignment="1" applyProtection="1">
      <alignment horizontal="left" vertical="center"/>
      <protection locked="0"/>
    </xf>
    <xf numFmtId="0" fontId="33" fillId="3" borderId="0" xfId="4" applyFont="1" applyFill="1" applyAlignment="1" applyProtection="1">
      <alignment horizontal="left" vertical="center"/>
      <protection locked="0"/>
    </xf>
    <xf numFmtId="0" fontId="9" fillId="2" borderId="47" xfId="4" applyFont="1" applyFill="1" applyBorder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0" fontId="33" fillId="3" borderId="0" xfId="5" applyFont="1" applyFill="1" applyAlignment="1" applyProtection="1">
      <alignment horizontal="left" wrapText="1"/>
      <protection locked="0"/>
    </xf>
    <xf numFmtId="0" fontId="15" fillId="2" borderId="0" xfId="4" applyFont="1" applyFill="1" applyAlignment="1">
      <alignment horizontal="center" vertical="center"/>
    </xf>
    <xf numFmtId="0" fontId="16" fillId="2" borderId="0" xfId="4" applyFont="1" applyFill="1" applyAlignment="1">
      <alignment horizontal="center" vertical="center"/>
    </xf>
    <xf numFmtId="0" fontId="14" fillId="2" borderId="18" xfId="4" applyFont="1" applyFill="1" applyBorder="1" applyAlignment="1">
      <alignment horizontal="center" vertical="center"/>
    </xf>
    <xf numFmtId="0" fontId="14" fillId="2" borderId="19" xfId="4" applyFont="1" applyFill="1" applyBorder="1" applyAlignment="1">
      <alignment horizontal="center" vertical="center"/>
    </xf>
    <xf numFmtId="0" fontId="14" fillId="2" borderId="20" xfId="4" applyFont="1" applyFill="1" applyBorder="1" applyAlignment="1">
      <alignment horizontal="center" vertical="center"/>
    </xf>
    <xf numFmtId="0" fontId="34" fillId="2" borderId="10" xfId="4" applyFont="1" applyFill="1" applyBorder="1" applyAlignment="1">
      <alignment horizontal="center" vertical="center"/>
    </xf>
    <xf numFmtId="0" fontId="18" fillId="3" borderId="0" xfId="5" applyFont="1" applyFill="1" applyAlignment="1" applyProtection="1">
      <alignment horizontal="left" wrapText="1"/>
      <protection locked="0"/>
    </xf>
  </cellXfs>
  <cellStyles count="6">
    <cellStyle name="Normal" xfId="0" builtinId="0"/>
    <cellStyle name="Normal 2" xfId="1"/>
    <cellStyle name="Normal 2 2" xfId="3"/>
    <cellStyle name="Normal 3" xfId="2"/>
    <cellStyle name="Normal 4" xfId="4"/>
    <cellStyle name="Normal 5" xfId="5"/>
  </cellStyles>
  <dxfs count="2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E61" sqref="E61"/>
    </sheetView>
  </sheetViews>
  <sheetFormatPr defaultRowHeight="13.5" x14ac:dyDescent="0.25"/>
  <cols>
    <col min="1" max="1" width="27.5703125" style="161" customWidth="1"/>
    <col min="2" max="2" width="20.42578125" style="161" customWidth="1"/>
    <col min="3" max="3" width="31.85546875" style="161" customWidth="1"/>
    <col min="4" max="4" width="25.85546875" style="161" customWidth="1"/>
    <col min="5" max="5" width="25.7109375" style="161" customWidth="1"/>
    <col min="6" max="6" width="23.140625" style="161" customWidth="1"/>
    <col min="7" max="7" width="28.42578125" style="161" customWidth="1"/>
    <col min="8" max="8" width="21.5703125" style="161" customWidth="1"/>
    <col min="9" max="9" width="9.140625" style="161" customWidth="1"/>
    <col min="10" max="16384" width="9.140625" style="197"/>
  </cols>
  <sheetData>
    <row r="14" spans="1:6" ht="15" customHeight="1" x14ac:dyDescent="0.3">
      <c r="A14" s="160"/>
      <c r="C14" s="162"/>
      <c r="F14" s="162"/>
    </row>
    <row r="15" spans="1:6" ht="18.75" customHeight="1" x14ac:dyDescent="0.3">
      <c r="A15" s="548" t="s">
        <v>0</v>
      </c>
      <c r="B15" s="548"/>
      <c r="C15" s="548"/>
      <c r="D15" s="548"/>
      <c r="E15" s="548"/>
    </row>
    <row r="16" spans="1:6" ht="16.5" customHeight="1" x14ac:dyDescent="0.3">
      <c r="A16" s="163" t="s">
        <v>1</v>
      </c>
      <c r="B16" s="164" t="s">
        <v>2</v>
      </c>
    </row>
    <row r="17" spans="1:5" ht="16.5" customHeight="1" x14ac:dyDescent="0.3">
      <c r="A17" s="165" t="s">
        <v>3</v>
      </c>
      <c r="B17" s="165" t="s">
        <v>112</v>
      </c>
      <c r="D17" s="166"/>
      <c r="E17" s="167"/>
    </row>
    <row r="18" spans="1:5" ht="16.5" customHeight="1" x14ac:dyDescent="0.3">
      <c r="A18" s="168" t="s">
        <v>4</v>
      </c>
      <c r="B18" s="165" t="s">
        <v>119</v>
      </c>
      <c r="C18" s="167"/>
      <c r="D18" s="167"/>
      <c r="E18" s="167"/>
    </row>
    <row r="19" spans="1:5" ht="16.5" customHeight="1" x14ac:dyDescent="0.3">
      <c r="A19" s="168" t="s">
        <v>5</v>
      </c>
      <c r="B19" s="169">
        <v>99.6</v>
      </c>
      <c r="C19" s="167"/>
      <c r="D19" s="167"/>
      <c r="E19" s="167"/>
    </row>
    <row r="20" spans="1:5" ht="16.5" customHeight="1" x14ac:dyDescent="0.3">
      <c r="A20" s="165" t="s">
        <v>6</v>
      </c>
      <c r="B20" s="169">
        <v>10.58</v>
      </c>
      <c r="C20" s="167"/>
      <c r="D20" s="167"/>
      <c r="E20" s="167"/>
    </row>
    <row r="21" spans="1:5" ht="16.5" customHeight="1" x14ac:dyDescent="0.3">
      <c r="A21" s="165" t="s">
        <v>7</v>
      </c>
      <c r="B21" s="170">
        <f>10.58/50</f>
        <v>0.21160000000000001</v>
      </c>
      <c r="C21" s="167"/>
      <c r="D21" s="167"/>
      <c r="E21" s="167"/>
    </row>
    <row r="22" spans="1:5" ht="15.75" customHeight="1" x14ac:dyDescent="0.25">
      <c r="A22" s="167"/>
      <c r="B22" s="167"/>
      <c r="C22" s="167"/>
      <c r="D22" s="167"/>
      <c r="E22" s="167"/>
    </row>
    <row r="23" spans="1:5" ht="16.5" customHeight="1" x14ac:dyDescent="0.3">
      <c r="A23" s="171" t="s">
        <v>8</v>
      </c>
      <c r="B23" s="172" t="s">
        <v>9</v>
      </c>
      <c r="C23" s="171" t="s">
        <v>10</v>
      </c>
      <c r="D23" s="171" t="s">
        <v>11</v>
      </c>
      <c r="E23" s="171" t="s">
        <v>12</v>
      </c>
    </row>
    <row r="24" spans="1:5" ht="16.5" customHeight="1" x14ac:dyDescent="0.3">
      <c r="A24" s="173">
        <v>1</v>
      </c>
      <c r="B24" s="205">
        <v>70875954</v>
      </c>
      <c r="C24" s="205">
        <v>2248.9</v>
      </c>
      <c r="D24" s="206">
        <v>1</v>
      </c>
      <c r="E24" s="207">
        <v>4.4000000000000004</v>
      </c>
    </row>
    <row r="25" spans="1:5" ht="16.5" customHeight="1" x14ac:dyDescent="0.3">
      <c r="A25" s="173">
        <v>2</v>
      </c>
      <c r="B25" s="205">
        <v>70815030</v>
      </c>
      <c r="C25" s="205">
        <v>2249.6</v>
      </c>
      <c r="D25" s="206">
        <v>1</v>
      </c>
      <c r="E25" s="206">
        <v>4.4000000000000004</v>
      </c>
    </row>
    <row r="26" spans="1:5" ht="16.5" customHeight="1" x14ac:dyDescent="0.3">
      <c r="A26" s="173">
        <v>3</v>
      </c>
      <c r="B26" s="205">
        <v>70661155</v>
      </c>
      <c r="C26" s="205">
        <v>2243.6</v>
      </c>
      <c r="D26" s="206">
        <v>1</v>
      </c>
      <c r="E26" s="206">
        <v>4.4000000000000004</v>
      </c>
    </row>
    <row r="27" spans="1:5" ht="16.5" customHeight="1" x14ac:dyDescent="0.3">
      <c r="A27" s="173">
        <v>4</v>
      </c>
      <c r="B27" s="205">
        <v>70647588</v>
      </c>
      <c r="C27" s="205">
        <v>2246.6</v>
      </c>
      <c r="D27" s="206">
        <v>1</v>
      </c>
      <c r="E27" s="206">
        <v>4.4000000000000004</v>
      </c>
    </row>
    <row r="28" spans="1:5" ht="16.5" customHeight="1" x14ac:dyDescent="0.3">
      <c r="A28" s="173">
        <v>5</v>
      </c>
      <c r="B28" s="205">
        <v>70333171</v>
      </c>
      <c r="C28" s="205">
        <v>2237.5</v>
      </c>
      <c r="D28" s="206">
        <v>1</v>
      </c>
      <c r="E28" s="206">
        <v>4.4000000000000004</v>
      </c>
    </row>
    <row r="29" spans="1:5" ht="16.5" customHeight="1" x14ac:dyDescent="0.3">
      <c r="A29" s="173">
        <v>6</v>
      </c>
      <c r="B29" s="208">
        <v>70805087</v>
      </c>
      <c r="C29" s="209">
        <v>2240</v>
      </c>
      <c r="D29" s="210">
        <v>1</v>
      </c>
      <c r="E29" s="210">
        <v>4.4000000000000004</v>
      </c>
    </row>
    <row r="30" spans="1:5" ht="16.5" customHeight="1" x14ac:dyDescent="0.3">
      <c r="A30" s="179" t="s">
        <v>13</v>
      </c>
      <c r="B30" s="180">
        <f>AVERAGE(B24:B29)</f>
        <v>70689664.166666672</v>
      </c>
      <c r="C30" s="181">
        <f>AVERAGE(C24:C29)</f>
        <v>2244.3666666666668</v>
      </c>
      <c r="D30" s="182">
        <f>AVERAGE(D24:D29)</f>
        <v>1</v>
      </c>
      <c r="E30" s="182">
        <f>AVERAGE(E24:E29)</f>
        <v>4.3999999999999995</v>
      </c>
    </row>
    <row r="31" spans="1:5" ht="16.5" customHeight="1" x14ac:dyDescent="0.3">
      <c r="A31" s="183" t="s">
        <v>14</v>
      </c>
      <c r="B31" s="184">
        <f>(STDEV(B24:B29)/B30)</f>
        <v>2.7822903387450643E-3</v>
      </c>
      <c r="C31" s="185"/>
      <c r="D31" s="185"/>
      <c r="E31" s="186"/>
    </row>
    <row r="32" spans="1:5" s="161" customFormat="1" ht="16.5" customHeight="1" x14ac:dyDescent="0.3">
      <c r="A32" s="187" t="s">
        <v>15</v>
      </c>
      <c r="B32" s="188">
        <f>COUNT(B24:B29)</f>
        <v>6</v>
      </c>
      <c r="C32" s="189"/>
      <c r="D32" s="190"/>
      <c r="E32" s="191"/>
    </row>
    <row r="33" spans="1:5" s="161" customFormat="1" ht="15.75" customHeight="1" x14ac:dyDescent="0.25">
      <c r="A33" s="167"/>
      <c r="B33" s="167"/>
      <c r="C33" s="167"/>
      <c r="D33" s="167"/>
      <c r="E33" s="167"/>
    </row>
    <row r="34" spans="1:5" s="161" customFormat="1" ht="16.5" customHeight="1" x14ac:dyDescent="0.3">
      <c r="A34" s="168" t="s">
        <v>16</v>
      </c>
      <c r="B34" s="192" t="s">
        <v>17</v>
      </c>
      <c r="C34" s="193"/>
      <c r="D34" s="193"/>
      <c r="E34" s="193"/>
    </row>
    <row r="35" spans="1:5" ht="16.5" customHeight="1" x14ac:dyDescent="0.3">
      <c r="A35" s="168"/>
      <c r="B35" s="192" t="s">
        <v>18</v>
      </c>
      <c r="C35" s="193"/>
      <c r="D35" s="193"/>
      <c r="E35" s="193"/>
    </row>
    <row r="36" spans="1:5" ht="16.5" customHeight="1" x14ac:dyDescent="0.3">
      <c r="A36" s="168"/>
      <c r="B36" s="192" t="s">
        <v>19</v>
      </c>
      <c r="C36" s="193"/>
      <c r="D36" s="193"/>
      <c r="E36" s="193"/>
    </row>
    <row r="37" spans="1:5" ht="15.75" customHeight="1" x14ac:dyDescent="0.25">
      <c r="A37" s="167"/>
      <c r="B37" s="167" t="s">
        <v>120</v>
      </c>
      <c r="C37" s="167"/>
      <c r="D37" s="167"/>
      <c r="E37" s="167"/>
    </row>
    <row r="38" spans="1:5" ht="16.5" customHeight="1" x14ac:dyDescent="0.3">
      <c r="A38" s="163" t="s">
        <v>1</v>
      </c>
      <c r="B38" s="164" t="s">
        <v>20</v>
      </c>
    </row>
    <row r="39" spans="1:5" ht="16.5" customHeight="1" x14ac:dyDescent="0.3">
      <c r="A39" s="168" t="s">
        <v>4</v>
      </c>
      <c r="B39" s="165" t="s">
        <v>119</v>
      </c>
      <c r="C39" s="167"/>
      <c r="D39" s="167"/>
      <c r="E39" s="167"/>
    </row>
    <row r="40" spans="1:5" ht="16.5" customHeight="1" x14ac:dyDescent="0.3">
      <c r="A40" s="168" t="s">
        <v>5</v>
      </c>
      <c r="B40" s="169">
        <v>99.6</v>
      </c>
      <c r="C40" s="167"/>
      <c r="D40" s="167"/>
      <c r="E40" s="167"/>
    </row>
    <row r="41" spans="1:5" ht="16.5" customHeight="1" x14ac:dyDescent="0.3">
      <c r="A41" s="165" t="s">
        <v>6</v>
      </c>
      <c r="B41" s="169">
        <v>14.37</v>
      </c>
      <c r="C41" s="167"/>
      <c r="D41" s="167"/>
      <c r="E41" s="167"/>
    </row>
    <row r="42" spans="1:5" ht="16.5" customHeight="1" x14ac:dyDescent="0.3">
      <c r="A42" s="165" t="s">
        <v>7</v>
      </c>
      <c r="B42" s="170">
        <f>14.37/25*10/20</f>
        <v>0.28739999999999999</v>
      </c>
      <c r="C42" s="167"/>
      <c r="D42" s="167"/>
      <c r="E42" s="167"/>
    </row>
    <row r="43" spans="1:5" ht="15.75" customHeight="1" x14ac:dyDescent="0.25">
      <c r="A43" s="167"/>
      <c r="B43" s="167"/>
      <c r="C43" s="167"/>
      <c r="D43" s="167"/>
      <c r="E43" s="167"/>
    </row>
    <row r="44" spans="1:5" ht="16.5" customHeight="1" x14ac:dyDescent="0.3">
      <c r="A44" s="171" t="s">
        <v>8</v>
      </c>
      <c r="B44" s="172" t="s">
        <v>9</v>
      </c>
      <c r="C44" s="171" t="s">
        <v>10</v>
      </c>
      <c r="D44" s="171" t="s">
        <v>11</v>
      </c>
      <c r="E44" s="171" t="s">
        <v>12</v>
      </c>
    </row>
    <row r="45" spans="1:5" ht="16.5" customHeight="1" x14ac:dyDescent="0.3">
      <c r="A45" s="173">
        <v>1</v>
      </c>
      <c r="B45" s="174">
        <v>49705859</v>
      </c>
      <c r="C45" s="174">
        <v>2313.1</v>
      </c>
      <c r="D45" s="175">
        <v>1.2</v>
      </c>
      <c r="E45" s="176">
        <v>4.3</v>
      </c>
    </row>
    <row r="46" spans="1:5" ht="16.5" customHeight="1" x14ac:dyDescent="0.3">
      <c r="A46" s="173">
        <v>2</v>
      </c>
      <c r="B46" s="174">
        <v>49699252</v>
      </c>
      <c r="C46" s="174">
        <v>2321.6</v>
      </c>
      <c r="D46" s="175">
        <v>1.3</v>
      </c>
      <c r="E46" s="175">
        <v>4.3</v>
      </c>
    </row>
    <row r="47" spans="1:5" ht="16.5" customHeight="1" x14ac:dyDescent="0.3">
      <c r="A47" s="173">
        <v>3</v>
      </c>
      <c r="B47" s="174">
        <v>49848190</v>
      </c>
      <c r="C47" s="174">
        <v>2320.6</v>
      </c>
      <c r="D47" s="175">
        <v>1.3</v>
      </c>
      <c r="E47" s="175">
        <v>4.3</v>
      </c>
    </row>
    <row r="48" spans="1:5" ht="16.5" customHeight="1" x14ac:dyDescent="0.3">
      <c r="A48" s="173">
        <v>4</v>
      </c>
      <c r="B48" s="174">
        <v>49912838</v>
      </c>
      <c r="C48" s="174">
        <v>2319.8000000000002</v>
      </c>
      <c r="D48" s="175">
        <v>1.3</v>
      </c>
      <c r="E48" s="175">
        <v>4.3</v>
      </c>
    </row>
    <row r="49" spans="1:7" ht="16.5" customHeight="1" x14ac:dyDescent="0.3">
      <c r="A49" s="173">
        <v>5</v>
      </c>
      <c r="B49" s="174">
        <v>49943691</v>
      </c>
      <c r="C49" s="174">
        <v>2316.6</v>
      </c>
      <c r="D49" s="175">
        <v>1.3</v>
      </c>
      <c r="E49" s="175">
        <v>4.4000000000000004</v>
      </c>
    </row>
    <row r="50" spans="1:7" ht="16.5" customHeight="1" x14ac:dyDescent="0.3">
      <c r="A50" s="173">
        <v>6</v>
      </c>
      <c r="B50" s="177">
        <v>50190571</v>
      </c>
      <c r="C50" s="177">
        <v>2330.6999999999998</v>
      </c>
      <c r="D50" s="178">
        <v>1.2</v>
      </c>
      <c r="E50" s="178">
        <v>4.4000000000000004</v>
      </c>
    </row>
    <row r="51" spans="1:7" ht="16.5" customHeight="1" x14ac:dyDescent="0.3">
      <c r="A51" s="179" t="s">
        <v>13</v>
      </c>
      <c r="B51" s="180">
        <f>AVERAGE(B45:B50)</f>
        <v>49883400.166666664</v>
      </c>
      <c r="C51" s="181">
        <f>AVERAGE(C45:C50)</f>
        <v>2320.3999999999996</v>
      </c>
      <c r="D51" s="182">
        <f>AVERAGE(D45:D50)</f>
        <v>1.2666666666666666</v>
      </c>
      <c r="E51" s="182">
        <f>AVERAGE(E45:E50)</f>
        <v>4.333333333333333</v>
      </c>
    </row>
    <row r="52" spans="1:7" ht="16.5" customHeight="1" x14ac:dyDescent="0.3">
      <c r="A52" s="183" t="s">
        <v>14</v>
      </c>
      <c r="B52" s="184">
        <f>(STDEV(B45:B50)/B51)</f>
        <v>3.6474800574470274E-3</v>
      </c>
      <c r="C52" s="185"/>
      <c r="D52" s="185"/>
      <c r="E52" s="186"/>
    </row>
    <row r="53" spans="1:7" s="161" customFormat="1" ht="16.5" customHeight="1" x14ac:dyDescent="0.3">
      <c r="A53" s="187" t="s">
        <v>15</v>
      </c>
      <c r="B53" s="188">
        <f>COUNT(B45:B50)</f>
        <v>6</v>
      </c>
      <c r="C53" s="189"/>
      <c r="D53" s="190"/>
      <c r="E53" s="191"/>
    </row>
    <row r="54" spans="1:7" s="161" customFormat="1" ht="15.75" customHeight="1" x14ac:dyDescent="0.25">
      <c r="A54" s="167"/>
      <c r="B54" s="167"/>
      <c r="C54" s="167"/>
      <c r="D54" s="167"/>
      <c r="E54" s="167"/>
    </row>
    <row r="55" spans="1:7" s="161" customFormat="1" ht="16.5" customHeight="1" x14ac:dyDescent="0.3">
      <c r="A55" s="168" t="s">
        <v>16</v>
      </c>
      <c r="B55" s="192" t="s">
        <v>17</v>
      </c>
      <c r="C55" s="193"/>
      <c r="D55" s="193"/>
      <c r="E55" s="193"/>
    </row>
    <row r="56" spans="1:7" ht="16.5" customHeight="1" x14ac:dyDescent="0.3">
      <c r="A56" s="168"/>
      <c r="B56" s="192" t="s">
        <v>18</v>
      </c>
      <c r="C56" s="193"/>
      <c r="D56" s="193"/>
      <c r="E56" s="193"/>
    </row>
    <row r="57" spans="1:7" ht="16.5" customHeight="1" x14ac:dyDescent="0.3">
      <c r="A57" s="168"/>
      <c r="B57" s="192" t="s">
        <v>19</v>
      </c>
      <c r="C57" s="193"/>
      <c r="D57" s="193"/>
      <c r="E57" s="193"/>
    </row>
    <row r="58" spans="1:7" ht="14.25" customHeight="1" thickBot="1" x14ac:dyDescent="0.3">
      <c r="A58" s="194"/>
      <c r="B58" s="195"/>
      <c r="D58" s="196"/>
      <c r="F58" s="197"/>
      <c r="G58" s="197"/>
    </row>
    <row r="59" spans="1:7" ht="15" customHeight="1" x14ac:dyDescent="0.3">
      <c r="B59" s="549" t="s">
        <v>21</v>
      </c>
      <c r="C59" s="549"/>
      <c r="E59" s="204" t="s">
        <v>22</v>
      </c>
      <c r="F59" s="198"/>
      <c r="G59" s="204" t="s">
        <v>23</v>
      </c>
    </row>
    <row r="60" spans="1:7" ht="15" customHeight="1" x14ac:dyDescent="0.3">
      <c r="A60" s="199" t="s">
        <v>24</v>
      </c>
      <c r="B60" s="200" t="s">
        <v>121</v>
      </c>
      <c r="C60" s="200"/>
      <c r="E60" s="201" t="s">
        <v>122</v>
      </c>
      <c r="G60" s="200"/>
    </row>
    <row r="61" spans="1:7" ht="15" customHeight="1" x14ac:dyDescent="0.3">
      <c r="A61" s="199" t="s">
        <v>25</v>
      </c>
      <c r="B61" s="202"/>
      <c r="C61" s="202"/>
      <c r="E61" s="202"/>
      <c r="G61" s="20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7" workbookViewId="0">
      <selection activeCell="F61" sqref="F61"/>
    </sheetView>
  </sheetViews>
  <sheetFormatPr defaultRowHeight="13.5" x14ac:dyDescent="0.25"/>
  <cols>
    <col min="1" max="1" width="27.5703125" style="212" customWidth="1"/>
    <col min="2" max="2" width="20.42578125" style="212" customWidth="1"/>
    <col min="3" max="3" width="31.85546875" style="212" customWidth="1"/>
    <col min="4" max="5" width="25.85546875" style="212" customWidth="1"/>
    <col min="6" max="6" width="25.7109375" style="212" customWidth="1"/>
    <col min="7" max="7" width="23.140625" style="212" customWidth="1"/>
    <col min="8" max="8" width="28.42578125" style="212" customWidth="1"/>
    <col min="9" max="9" width="21.5703125" style="212" customWidth="1"/>
    <col min="10" max="10" width="9.140625" style="212" customWidth="1"/>
    <col min="11" max="16384" width="9.140625" style="250"/>
  </cols>
  <sheetData>
    <row r="14" spans="1:7" ht="15" customHeight="1" x14ac:dyDescent="0.3">
      <c r="A14" s="211"/>
      <c r="C14" s="213"/>
      <c r="G14" s="213"/>
    </row>
    <row r="15" spans="1:7" ht="18.75" customHeight="1" x14ac:dyDescent="0.3">
      <c r="A15" s="550" t="s">
        <v>0</v>
      </c>
      <c r="B15" s="550"/>
      <c r="C15" s="550"/>
      <c r="D15" s="550"/>
      <c r="E15" s="550"/>
      <c r="F15" s="550"/>
    </row>
    <row r="16" spans="1:7" ht="16.5" customHeight="1" x14ac:dyDescent="0.3">
      <c r="A16" s="214" t="s">
        <v>1</v>
      </c>
      <c r="B16" s="215" t="s">
        <v>2</v>
      </c>
    </row>
    <row r="17" spans="1:6" ht="16.5" customHeight="1" x14ac:dyDescent="0.3">
      <c r="A17" s="216" t="s">
        <v>3</v>
      </c>
      <c r="B17" s="216" t="s">
        <v>112</v>
      </c>
      <c r="D17" s="217"/>
      <c r="E17" s="217"/>
      <c r="F17" s="218"/>
    </row>
    <row r="18" spans="1:6" ht="16.5" customHeight="1" x14ac:dyDescent="0.3">
      <c r="A18" s="219" t="s">
        <v>4</v>
      </c>
      <c r="B18" s="216" t="s">
        <v>117</v>
      </c>
      <c r="C18" s="218"/>
      <c r="D18" s="218"/>
      <c r="E18" s="218"/>
      <c r="F18" s="218"/>
    </row>
    <row r="19" spans="1:6" ht="16.5" customHeight="1" x14ac:dyDescent="0.3">
      <c r="A19" s="219" t="s">
        <v>5</v>
      </c>
      <c r="B19" s="220">
        <v>99.4</v>
      </c>
      <c r="C19" s="218"/>
      <c r="D19" s="218"/>
      <c r="E19" s="218"/>
      <c r="F19" s="218"/>
    </row>
    <row r="20" spans="1:6" ht="16.5" customHeight="1" x14ac:dyDescent="0.3">
      <c r="A20" s="216" t="s">
        <v>6</v>
      </c>
      <c r="B20" s="220">
        <v>14.25</v>
      </c>
      <c r="C20" s="218"/>
      <c r="D20" s="218"/>
      <c r="E20" s="218"/>
      <c r="F20" s="218"/>
    </row>
    <row r="21" spans="1:6" ht="16.5" customHeight="1" x14ac:dyDescent="0.3">
      <c r="A21" s="216" t="s">
        <v>7</v>
      </c>
      <c r="B21" s="221">
        <f>14.25/25*5/50</f>
        <v>5.6999999999999995E-2</v>
      </c>
      <c r="C21" s="218"/>
      <c r="D21" s="218"/>
      <c r="E21" s="218"/>
      <c r="F21" s="218"/>
    </row>
    <row r="22" spans="1:6" ht="15.75" customHeight="1" x14ac:dyDescent="0.25">
      <c r="A22" s="218"/>
      <c r="B22" s="218"/>
      <c r="C22" s="218"/>
      <c r="D22" s="218"/>
      <c r="E22" s="218"/>
      <c r="F22" s="218"/>
    </row>
    <row r="23" spans="1:6" ht="16.5" customHeight="1" x14ac:dyDescent="0.3">
      <c r="A23" s="222" t="s">
        <v>8</v>
      </c>
      <c r="B23" s="223" t="s">
        <v>9</v>
      </c>
      <c r="C23" s="222" t="s">
        <v>10</v>
      </c>
      <c r="D23" s="222" t="s">
        <v>11</v>
      </c>
      <c r="E23" s="222" t="s">
        <v>123</v>
      </c>
      <c r="F23" s="222" t="s">
        <v>12</v>
      </c>
    </row>
    <row r="24" spans="1:6" ht="16.5" customHeight="1" x14ac:dyDescent="0.3">
      <c r="A24" s="224">
        <v>1</v>
      </c>
      <c r="B24" s="225">
        <v>19812477</v>
      </c>
      <c r="C24" s="225">
        <v>2226</v>
      </c>
      <c r="D24" s="226">
        <v>1</v>
      </c>
      <c r="E24" s="226">
        <v>2.71739</v>
      </c>
      <c r="F24" s="227">
        <v>5.5</v>
      </c>
    </row>
    <row r="25" spans="1:6" ht="16.5" customHeight="1" x14ac:dyDescent="0.3">
      <c r="A25" s="224">
        <v>2</v>
      </c>
      <c r="B25" s="225">
        <v>19799972</v>
      </c>
      <c r="C25" s="225">
        <v>2223.1999999999998</v>
      </c>
      <c r="D25" s="226">
        <v>1</v>
      </c>
      <c r="E25" s="226">
        <v>2.70634</v>
      </c>
      <c r="F25" s="226">
        <v>5.5</v>
      </c>
    </row>
    <row r="26" spans="1:6" ht="16.5" customHeight="1" x14ac:dyDescent="0.3">
      <c r="A26" s="224">
        <v>3</v>
      </c>
      <c r="B26" s="225">
        <v>19758072</v>
      </c>
      <c r="C26" s="225">
        <v>2220.6999999999998</v>
      </c>
      <c r="D26" s="226">
        <v>1</v>
      </c>
      <c r="E26" s="226">
        <v>2.7141700000000002</v>
      </c>
      <c r="F26" s="226">
        <v>5.5</v>
      </c>
    </row>
    <row r="27" spans="1:6" ht="16.5" customHeight="1" x14ac:dyDescent="0.3">
      <c r="A27" s="224">
        <v>4</v>
      </c>
      <c r="B27" s="225">
        <v>19751172</v>
      </c>
      <c r="C27" s="225">
        <v>2221.4</v>
      </c>
      <c r="D27" s="226">
        <v>1</v>
      </c>
      <c r="E27" s="226">
        <v>2.7022699999999999</v>
      </c>
      <c r="F27" s="226">
        <v>5.5</v>
      </c>
    </row>
    <row r="28" spans="1:6" ht="16.5" customHeight="1" x14ac:dyDescent="0.3">
      <c r="A28" s="224">
        <v>5</v>
      </c>
      <c r="B28" s="225">
        <v>19661027</v>
      </c>
      <c r="C28" s="225">
        <v>2212.4</v>
      </c>
      <c r="D28" s="226">
        <v>1</v>
      </c>
      <c r="E28" s="226">
        <v>2.6994699999999998</v>
      </c>
      <c r="F28" s="226">
        <v>5.5</v>
      </c>
    </row>
    <row r="29" spans="1:6" ht="16.5" customHeight="1" x14ac:dyDescent="0.3">
      <c r="A29" s="224">
        <v>6</v>
      </c>
      <c r="B29" s="228">
        <v>19798756</v>
      </c>
      <c r="C29" s="228">
        <v>2218.4</v>
      </c>
      <c r="D29" s="229">
        <v>1</v>
      </c>
      <c r="E29" s="229">
        <v>2.6995</v>
      </c>
      <c r="F29" s="229">
        <v>5.5</v>
      </c>
    </row>
    <row r="30" spans="1:6" ht="16.5" customHeight="1" x14ac:dyDescent="0.3">
      <c r="A30" s="230" t="s">
        <v>13</v>
      </c>
      <c r="B30" s="231">
        <f>AVERAGE(B24:B29)</f>
        <v>19763579.333333332</v>
      </c>
      <c r="C30" s="232">
        <f>AVERAGE(C24:C29)</f>
        <v>2220.35</v>
      </c>
      <c r="D30" s="233">
        <f>AVERAGE(D24:D29)</f>
        <v>1</v>
      </c>
      <c r="E30" s="233">
        <v>2.71</v>
      </c>
      <c r="F30" s="233">
        <f>AVERAGE(F24:F29)</f>
        <v>5.5</v>
      </c>
    </row>
    <row r="31" spans="1:6" ht="16.5" customHeight="1" x14ac:dyDescent="0.3">
      <c r="A31" s="234" t="s">
        <v>14</v>
      </c>
      <c r="B31" s="235">
        <f>(STDEV(B24:B29)/B30)</f>
        <v>2.8311500517884279E-3</v>
      </c>
      <c r="C31" s="236"/>
      <c r="D31" s="236"/>
      <c r="E31" s="236"/>
      <c r="F31" s="237"/>
    </row>
    <row r="32" spans="1:6" s="212" customFormat="1" ht="16.5" customHeight="1" x14ac:dyDescent="0.3">
      <c r="A32" s="238" t="s">
        <v>15</v>
      </c>
      <c r="B32" s="239">
        <f>COUNT(B24:B29)</f>
        <v>6</v>
      </c>
      <c r="C32" s="240"/>
      <c r="D32" s="241"/>
      <c r="E32" s="241"/>
      <c r="F32" s="242"/>
    </row>
    <row r="33" spans="1:6" s="212" customFormat="1" ht="15.75" customHeight="1" x14ac:dyDescent="0.25">
      <c r="A33" s="218"/>
      <c r="B33" s="218"/>
      <c r="C33" s="218"/>
      <c r="D33" s="218"/>
      <c r="E33" s="218"/>
      <c r="F33" s="218"/>
    </row>
    <row r="34" spans="1:6" s="212" customFormat="1" ht="16.5" customHeight="1" x14ac:dyDescent="0.3">
      <c r="A34" s="219" t="s">
        <v>16</v>
      </c>
      <c r="B34" s="243" t="s">
        <v>17</v>
      </c>
      <c r="C34" s="244"/>
      <c r="D34" s="244"/>
      <c r="E34" s="244"/>
      <c r="F34" s="244"/>
    </row>
    <row r="35" spans="1:6" ht="16.5" customHeight="1" x14ac:dyDescent="0.3">
      <c r="A35" s="219"/>
      <c r="B35" s="243" t="s">
        <v>18</v>
      </c>
      <c r="C35" s="244"/>
      <c r="D35" s="244"/>
      <c r="E35" s="244"/>
      <c r="F35" s="244"/>
    </row>
    <row r="36" spans="1:6" ht="16.5" customHeight="1" x14ac:dyDescent="0.3">
      <c r="A36" s="219"/>
      <c r="B36" s="243" t="s">
        <v>19</v>
      </c>
      <c r="C36" s="244"/>
      <c r="D36" s="244"/>
      <c r="E36" s="244"/>
      <c r="F36" s="244"/>
    </row>
    <row r="37" spans="1:6" ht="15.75" customHeight="1" x14ac:dyDescent="0.3">
      <c r="A37" s="218"/>
      <c r="B37" s="245" t="s">
        <v>124</v>
      </c>
      <c r="C37" s="218"/>
      <c r="D37" s="218"/>
      <c r="E37" s="218"/>
      <c r="F37" s="218"/>
    </row>
    <row r="38" spans="1:6" ht="16.5" customHeight="1" x14ac:dyDescent="0.3">
      <c r="A38" s="214" t="s">
        <v>1</v>
      </c>
      <c r="B38" s="215" t="s">
        <v>20</v>
      </c>
    </row>
    <row r="39" spans="1:6" ht="16.5" customHeight="1" x14ac:dyDescent="0.3">
      <c r="A39" s="219" t="s">
        <v>4</v>
      </c>
      <c r="B39" s="216" t="s">
        <v>117</v>
      </c>
      <c r="C39" s="218"/>
      <c r="D39" s="218"/>
      <c r="E39" s="218"/>
      <c r="F39" s="218"/>
    </row>
    <row r="40" spans="1:6" ht="16.5" customHeight="1" x14ac:dyDescent="0.3">
      <c r="A40" s="219" t="s">
        <v>5</v>
      </c>
      <c r="B40" s="220">
        <v>99.4</v>
      </c>
      <c r="C40" s="218"/>
      <c r="D40" s="218"/>
      <c r="E40" s="218"/>
      <c r="F40" s="218"/>
    </row>
    <row r="41" spans="1:6" ht="16.5" customHeight="1" x14ac:dyDescent="0.3">
      <c r="A41" s="216" t="s">
        <v>6</v>
      </c>
      <c r="B41" s="220">
        <v>10.75</v>
      </c>
      <c r="C41" s="218"/>
      <c r="D41" s="218"/>
      <c r="E41" s="218"/>
      <c r="F41" s="218"/>
    </row>
    <row r="42" spans="1:6" ht="16.5" customHeight="1" x14ac:dyDescent="0.3">
      <c r="A42" s="216" t="s">
        <v>7</v>
      </c>
      <c r="B42" s="221">
        <f>10.75/20*4/20</f>
        <v>0.1075</v>
      </c>
      <c r="C42" s="218"/>
      <c r="D42" s="218"/>
      <c r="E42" s="218"/>
      <c r="F42" s="218"/>
    </row>
    <row r="43" spans="1:6" ht="15.75" customHeight="1" x14ac:dyDescent="0.25">
      <c r="A43" s="218"/>
      <c r="B43" s="218"/>
      <c r="C43" s="218"/>
      <c r="D43" s="218"/>
      <c r="E43" s="218"/>
      <c r="F43" s="218"/>
    </row>
    <row r="44" spans="1:6" ht="16.5" customHeight="1" x14ac:dyDescent="0.3">
      <c r="A44" s="222" t="s">
        <v>8</v>
      </c>
      <c r="B44" s="223" t="s">
        <v>9</v>
      </c>
      <c r="C44" s="222" t="s">
        <v>10</v>
      </c>
      <c r="D44" s="222" t="s">
        <v>11</v>
      </c>
      <c r="E44" s="222" t="s">
        <v>123</v>
      </c>
      <c r="F44" s="222" t="s">
        <v>12</v>
      </c>
    </row>
    <row r="45" spans="1:6" ht="16.5" customHeight="1" x14ac:dyDescent="0.3">
      <c r="A45" s="224">
        <v>1</v>
      </c>
      <c r="B45" s="225">
        <v>19522435</v>
      </c>
      <c r="C45" s="225">
        <v>2348.5</v>
      </c>
      <c r="D45" s="226">
        <v>1.2</v>
      </c>
      <c r="E45" s="226"/>
      <c r="F45" s="227">
        <v>5.5</v>
      </c>
    </row>
    <row r="46" spans="1:6" ht="16.5" customHeight="1" x14ac:dyDescent="0.3">
      <c r="A46" s="224">
        <v>2</v>
      </c>
      <c r="B46" s="225">
        <v>19610418</v>
      </c>
      <c r="C46" s="225">
        <v>2334.8000000000002</v>
      </c>
      <c r="D46" s="226">
        <v>1.2</v>
      </c>
      <c r="E46" s="226"/>
      <c r="F46" s="226">
        <v>5.5</v>
      </c>
    </row>
    <row r="47" spans="1:6" ht="16.5" customHeight="1" x14ac:dyDescent="0.3">
      <c r="A47" s="224">
        <v>3</v>
      </c>
      <c r="B47" s="225">
        <v>19540183</v>
      </c>
      <c r="C47" s="225">
        <v>2352</v>
      </c>
      <c r="D47" s="226">
        <v>1.2</v>
      </c>
      <c r="E47" s="226"/>
      <c r="F47" s="226">
        <v>5.5</v>
      </c>
    </row>
    <row r="48" spans="1:6" ht="16.5" customHeight="1" x14ac:dyDescent="0.3">
      <c r="A48" s="224">
        <v>4</v>
      </c>
      <c r="B48" s="225">
        <v>19536324</v>
      </c>
      <c r="C48" s="225">
        <v>2332.4</v>
      </c>
      <c r="D48" s="226">
        <v>1.2</v>
      </c>
      <c r="E48" s="226"/>
      <c r="F48" s="226">
        <v>5.5</v>
      </c>
    </row>
    <row r="49" spans="1:8" ht="16.5" customHeight="1" x14ac:dyDescent="0.3">
      <c r="A49" s="224">
        <v>5</v>
      </c>
      <c r="B49" s="225">
        <v>19490694</v>
      </c>
      <c r="C49" s="225">
        <v>2353.1</v>
      </c>
      <c r="D49" s="226">
        <v>1.2</v>
      </c>
      <c r="E49" s="226"/>
      <c r="F49" s="226">
        <v>5.5</v>
      </c>
    </row>
    <row r="50" spans="1:8" ht="16.5" customHeight="1" x14ac:dyDescent="0.3">
      <c r="A50" s="224">
        <v>6</v>
      </c>
      <c r="B50" s="228">
        <v>19643582</v>
      </c>
      <c r="C50" s="228">
        <v>2331.1999999999998</v>
      </c>
      <c r="D50" s="229">
        <v>1.2</v>
      </c>
      <c r="E50" s="229"/>
      <c r="F50" s="229">
        <v>5.5</v>
      </c>
    </row>
    <row r="51" spans="1:8" ht="16.5" customHeight="1" x14ac:dyDescent="0.3">
      <c r="A51" s="230" t="s">
        <v>13</v>
      </c>
      <c r="B51" s="231">
        <f>AVERAGE(B45:B50)</f>
        <v>19557272.666666668</v>
      </c>
      <c r="C51" s="232">
        <f>AVERAGE(C45:C50)</f>
        <v>2342</v>
      </c>
      <c r="D51" s="233">
        <f>AVERAGE(D45:D50)</f>
        <v>1.2</v>
      </c>
      <c r="E51" s="233"/>
      <c r="F51" s="233">
        <f>AVERAGE(F45:F50)</f>
        <v>5.5</v>
      </c>
    </row>
    <row r="52" spans="1:8" ht="16.5" customHeight="1" x14ac:dyDescent="0.3">
      <c r="A52" s="234" t="s">
        <v>14</v>
      </c>
      <c r="B52" s="235">
        <f>(STDEV(B45:B50)/B51)</f>
        <v>2.9507134278085709E-3</v>
      </c>
      <c r="C52" s="236"/>
      <c r="D52" s="236"/>
      <c r="E52" s="236"/>
      <c r="F52" s="237"/>
    </row>
    <row r="53" spans="1:8" s="212" customFormat="1" ht="16.5" customHeight="1" x14ac:dyDescent="0.3">
      <c r="A53" s="238" t="s">
        <v>15</v>
      </c>
      <c r="B53" s="239">
        <f>COUNT(B45:B50)</f>
        <v>6</v>
      </c>
      <c r="C53" s="240"/>
      <c r="D53" s="241"/>
      <c r="E53" s="241"/>
      <c r="F53" s="242"/>
    </row>
    <row r="54" spans="1:8" s="212" customFormat="1" ht="15.75" customHeight="1" x14ac:dyDescent="0.25">
      <c r="A54" s="218"/>
      <c r="B54" s="218"/>
      <c r="C54" s="218"/>
      <c r="D54" s="218"/>
      <c r="E54" s="218"/>
      <c r="F54" s="218"/>
    </row>
    <row r="55" spans="1:8" s="212" customFormat="1" ht="16.5" customHeight="1" x14ac:dyDescent="0.3">
      <c r="A55" s="219" t="s">
        <v>16</v>
      </c>
      <c r="B55" s="243" t="s">
        <v>17</v>
      </c>
      <c r="C55" s="244"/>
      <c r="D55" s="244"/>
      <c r="E55" s="244"/>
      <c r="F55" s="244"/>
    </row>
    <row r="56" spans="1:8" ht="16.5" customHeight="1" x14ac:dyDescent="0.3">
      <c r="A56" s="219"/>
      <c r="B56" s="243" t="s">
        <v>18</v>
      </c>
      <c r="C56" s="244"/>
      <c r="D56" s="244"/>
      <c r="E56" s="244"/>
      <c r="F56" s="244"/>
    </row>
    <row r="57" spans="1:8" ht="16.5" customHeight="1" x14ac:dyDescent="0.3">
      <c r="A57" s="219"/>
      <c r="B57" s="243" t="s">
        <v>19</v>
      </c>
      <c r="C57" s="244"/>
      <c r="D57" s="244"/>
      <c r="E57" s="244"/>
      <c r="F57" s="244"/>
    </row>
    <row r="58" spans="1:8" ht="14.25" customHeight="1" thickBot="1" x14ac:dyDescent="0.3">
      <c r="A58" s="246"/>
      <c r="B58" s="247"/>
      <c r="D58" s="248"/>
      <c r="E58" s="249"/>
      <c r="G58" s="250"/>
      <c r="H58" s="250"/>
    </row>
    <row r="59" spans="1:8" ht="15" customHeight="1" x14ac:dyDescent="0.3">
      <c r="B59" s="551" t="s">
        <v>21</v>
      </c>
      <c r="C59" s="551"/>
      <c r="F59" s="251"/>
      <c r="G59" s="252"/>
      <c r="H59" s="253" t="s">
        <v>23</v>
      </c>
    </row>
    <row r="60" spans="1:8" ht="15" customHeight="1" x14ac:dyDescent="0.3">
      <c r="A60" s="254" t="s">
        <v>24</v>
      </c>
      <c r="B60" s="255" t="s">
        <v>121</v>
      </c>
      <c r="C60" s="255"/>
      <c r="F60" s="256" t="s">
        <v>122</v>
      </c>
      <c r="H60" s="255"/>
    </row>
    <row r="61" spans="1:8" ht="15" customHeight="1" x14ac:dyDescent="0.3">
      <c r="A61" s="254" t="s">
        <v>25</v>
      </c>
      <c r="B61" s="257"/>
      <c r="C61" s="257"/>
      <c r="F61" s="257"/>
      <c r="H61" s="25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C31" sqref="C31"/>
    </sheetView>
  </sheetViews>
  <sheetFormatPr defaultRowHeight="15" x14ac:dyDescent="0.3"/>
  <cols>
    <col min="1" max="1" width="15.5703125" style="259" customWidth="1"/>
    <col min="2" max="2" width="18.42578125" style="259" customWidth="1"/>
    <col min="3" max="3" width="14.28515625" style="259" customWidth="1"/>
    <col min="4" max="4" width="15" style="259" customWidth="1"/>
    <col min="5" max="5" width="9.140625" style="259" customWidth="1"/>
    <col min="6" max="6" width="27.85546875" style="259" customWidth="1"/>
    <col min="7" max="7" width="12.28515625" style="259" customWidth="1"/>
    <col min="8" max="8" width="9.140625" style="259" customWidth="1"/>
    <col min="9" max="16384" width="9.140625" style="2"/>
  </cols>
  <sheetData>
    <row r="10" spans="1:7" ht="13.5" customHeight="1" thickBot="1" x14ac:dyDescent="0.35"/>
    <row r="11" spans="1:7" ht="13.5" customHeight="1" thickBot="1" x14ac:dyDescent="0.35">
      <c r="A11" s="556" t="s">
        <v>26</v>
      </c>
      <c r="B11" s="557"/>
      <c r="C11" s="557"/>
      <c r="D11" s="557"/>
      <c r="E11" s="557"/>
      <c r="F11" s="558"/>
      <c r="G11" s="301"/>
    </row>
    <row r="12" spans="1:7" ht="16.5" customHeight="1" x14ac:dyDescent="0.3">
      <c r="A12" s="553" t="s">
        <v>27</v>
      </c>
      <c r="B12" s="553"/>
      <c r="C12" s="553"/>
      <c r="D12" s="553"/>
      <c r="E12" s="553"/>
      <c r="F12" s="553"/>
      <c r="G12" s="300"/>
    </row>
    <row r="14" spans="1:7" ht="16.5" customHeight="1" x14ac:dyDescent="0.3">
      <c r="A14" s="552" t="s">
        <v>28</v>
      </c>
      <c r="B14" s="552"/>
      <c r="C14" s="261" t="s">
        <v>128</v>
      </c>
    </row>
    <row r="15" spans="1:7" ht="16.5" customHeight="1" x14ac:dyDescent="0.3">
      <c r="A15" s="552" t="s">
        <v>29</v>
      </c>
      <c r="B15" s="552"/>
      <c r="C15" s="261" t="s">
        <v>127</v>
      </c>
    </row>
    <row r="16" spans="1:7" ht="16.5" customHeight="1" x14ac:dyDescent="0.3">
      <c r="A16" s="552" t="s">
        <v>30</v>
      </c>
      <c r="B16" s="552"/>
      <c r="C16" s="261" t="s">
        <v>114</v>
      </c>
    </row>
    <row r="17" spans="1:5" ht="16.5" customHeight="1" x14ac:dyDescent="0.3">
      <c r="A17" s="552" t="s">
        <v>31</v>
      </c>
      <c r="B17" s="552"/>
      <c r="C17" s="261" t="s">
        <v>126</v>
      </c>
    </row>
    <row r="18" spans="1:5" ht="16.5" customHeight="1" x14ac:dyDescent="0.3">
      <c r="A18" s="552" t="s">
        <v>32</v>
      </c>
      <c r="B18" s="552"/>
      <c r="C18" s="299" t="s">
        <v>125</v>
      </c>
    </row>
    <row r="19" spans="1:5" ht="16.5" customHeight="1" x14ac:dyDescent="0.3">
      <c r="A19" s="552" t="s">
        <v>33</v>
      </c>
      <c r="B19" s="552"/>
      <c r="C19" s="299" t="e">
        <f>#REF!</f>
        <v>#REF!</v>
      </c>
    </row>
    <row r="20" spans="1:5" ht="16.5" customHeight="1" x14ac:dyDescent="0.3">
      <c r="A20" s="264"/>
      <c r="B20" s="264"/>
      <c r="C20" s="298"/>
    </row>
    <row r="21" spans="1:5" ht="16.5" customHeight="1" x14ac:dyDescent="0.3">
      <c r="A21" s="553" t="s">
        <v>1</v>
      </c>
      <c r="B21" s="553"/>
      <c r="C21" s="297" t="s">
        <v>34</v>
      </c>
      <c r="D21" s="269"/>
    </row>
    <row r="22" spans="1:5" ht="15.75" customHeight="1" thickBot="1" x14ac:dyDescent="0.35">
      <c r="A22" s="559"/>
      <c r="B22" s="559"/>
      <c r="C22" s="296"/>
      <c r="D22" s="559"/>
      <c r="E22" s="559"/>
    </row>
    <row r="23" spans="1:5" ht="33.75" customHeight="1" thickBot="1" x14ac:dyDescent="0.35">
      <c r="C23" s="295" t="s">
        <v>35</v>
      </c>
      <c r="D23" s="278" t="s">
        <v>36</v>
      </c>
      <c r="E23" s="294"/>
    </row>
    <row r="24" spans="1:5" ht="15.75" customHeight="1" x14ac:dyDescent="0.3">
      <c r="C24" s="292">
        <v>1986.5</v>
      </c>
      <c r="D24" s="293">
        <f t="shared" ref="D24:D43" si="0">(C24-$C$46)/$C$46</f>
        <v>4.6876149808455277E-3</v>
      </c>
      <c r="E24" s="288"/>
    </row>
    <row r="25" spans="1:5" ht="15.75" customHeight="1" x14ac:dyDescent="0.3">
      <c r="C25" s="292">
        <v>1985.18</v>
      </c>
      <c r="D25" s="291">
        <f t="shared" si="0"/>
        <v>4.0200148541026876E-3</v>
      </c>
      <c r="E25" s="288"/>
    </row>
    <row r="26" spans="1:5" ht="15.75" customHeight="1" x14ac:dyDescent="0.3">
      <c r="C26" s="292">
        <v>1988.57</v>
      </c>
      <c r="D26" s="291">
        <f t="shared" si="0"/>
        <v>5.7345333614195462E-3</v>
      </c>
      <c r="E26" s="288"/>
    </row>
    <row r="27" spans="1:5" ht="15.75" customHeight="1" x14ac:dyDescent="0.3">
      <c r="C27" s="292">
        <v>1996.57</v>
      </c>
      <c r="D27" s="291">
        <f t="shared" si="0"/>
        <v>9.7805947356187726E-3</v>
      </c>
      <c r="E27" s="288"/>
    </row>
    <row r="28" spans="1:5" ht="15.75" customHeight="1" x14ac:dyDescent="0.3">
      <c r="C28" s="292">
        <v>1968.41</v>
      </c>
      <c r="D28" s="291">
        <f t="shared" si="0"/>
        <v>-4.4615413015624324E-3</v>
      </c>
      <c r="E28" s="288"/>
    </row>
    <row r="29" spans="1:5" ht="15.75" customHeight="1" x14ac:dyDescent="0.3">
      <c r="C29" s="292">
        <v>1993.39</v>
      </c>
      <c r="D29" s="291">
        <f t="shared" si="0"/>
        <v>8.1722853393746634E-3</v>
      </c>
      <c r="E29" s="288"/>
    </row>
    <row r="30" spans="1:5" ht="15.75" customHeight="1" x14ac:dyDescent="0.3">
      <c r="C30" s="292">
        <v>1972.7</v>
      </c>
      <c r="D30" s="291">
        <f t="shared" si="0"/>
        <v>-2.2918408896481154E-3</v>
      </c>
      <c r="E30" s="288"/>
    </row>
    <row r="31" spans="1:5" ht="15.75" customHeight="1" x14ac:dyDescent="0.3">
      <c r="C31" s="292">
        <v>1970.25</v>
      </c>
      <c r="D31" s="291">
        <f t="shared" si="0"/>
        <v>-3.5309471854966515E-3</v>
      </c>
      <c r="E31" s="288"/>
    </row>
    <row r="32" spans="1:5" ht="15.75" customHeight="1" x14ac:dyDescent="0.3">
      <c r="C32" s="292">
        <v>1982.27</v>
      </c>
      <c r="D32" s="291">
        <f t="shared" si="0"/>
        <v>2.5482600292376775E-3</v>
      </c>
      <c r="E32" s="288"/>
    </row>
    <row r="33" spans="1:7" ht="15.75" customHeight="1" x14ac:dyDescent="0.3">
      <c r="C33" s="292">
        <v>1968.92</v>
      </c>
      <c r="D33" s="291">
        <f t="shared" si="0"/>
        <v>-4.2036048889572365E-3</v>
      </c>
      <c r="E33" s="288"/>
    </row>
    <row r="34" spans="1:7" ht="15.75" customHeight="1" x14ac:dyDescent="0.3">
      <c r="C34" s="292">
        <v>1955.45</v>
      </c>
      <c r="D34" s="291">
        <f t="shared" si="0"/>
        <v>-1.1016160727765198E-2</v>
      </c>
      <c r="E34" s="288"/>
    </row>
    <row r="35" spans="1:7" ht="15.75" customHeight="1" x14ac:dyDescent="0.3">
      <c r="C35" s="292">
        <v>1967.42</v>
      </c>
      <c r="D35" s="291">
        <f t="shared" si="0"/>
        <v>-4.9622413966195914E-3</v>
      </c>
      <c r="E35" s="288"/>
    </row>
    <row r="36" spans="1:7" ht="15.75" customHeight="1" x14ac:dyDescent="0.3">
      <c r="C36" s="292">
        <v>1988.98</v>
      </c>
      <c r="D36" s="291">
        <f t="shared" si="0"/>
        <v>5.9418940068472976E-3</v>
      </c>
      <c r="E36" s="288"/>
    </row>
    <row r="37" spans="1:7" ht="15.75" customHeight="1" x14ac:dyDescent="0.3">
      <c r="C37" s="292">
        <v>1993.87</v>
      </c>
      <c r="D37" s="291">
        <f t="shared" si="0"/>
        <v>8.4150490218265102E-3</v>
      </c>
      <c r="E37" s="288"/>
    </row>
    <row r="38" spans="1:7" ht="15.75" customHeight="1" x14ac:dyDescent="0.3">
      <c r="C38" s="292">
        <v>1965.25</v>
      </c>
      <c r="D38" s="291">
        <f t="shared" si="0"/>
        <v>-6.0597355443711681E-3</v>
      </c>
      <c r="E38" s="288"/>
    </row>
    <row r="39" spans="1:7" ht="15.75" customHeight="1" x14ac:dyDescent="0.3">
      <c r="C39" s="292">
        <v>1960.2</v>
      </c>
      <c r="D39" s="291">
        <f t="shared" si="0"/>
        <v>-8.6138117868344074E-3</v>
      </c>
      <c r="E39" s="288"/>
    </row>
    <row r="40" spans="1:7" ht="15.75" customHeight="1" x14ac:dyDescent="0.3">
      <c r="C40" s="292">
        <v>1967.5</v>
      </c>
      <c r="D40" s="291">
        <f t="shared" si="0"/>
        <v>-4.9217807828776357E-3</v>
      </c>
      <c r="E40" s="288"/>
    </row>
    <row r="41" spans="1:7" ht="15.75" customHeight="1" x14ac:dyDescent="0.3">
      <c r="C41" s="292">
        <v>1973.8</v>
      </c>
      <c r="D41" s="291">
        <f t="shared" si="0"/>
        <v>-1.7355074506957677E-3</v>
      </c>
      <c r="E41" s="288"/>
    </row>
    <row r="42" spans="1:7" ht="15.75" customHeight="1" x14ac:dyDescent="0.3">
      <c r="C42" s="292">
        <v>1982.2</v>
      </c>
      <c r="D42" s="291">
        <f t="shared" si="0"/>
        <v>2.5128569922134667E-3</v>
      </c>
      <c r="E42" s="288"/>
    </row>
    <row r="43" spans="1:7" ht="16.5" customHeight="1" thickBot="1" x14ac:dyDescent="0.35">
      <c r="C43" s="290">
        <v>1977.2</v>
      </c>
      <c r="D43" s="289">
        <f t="shared" si="0"/>
        <v>-1.5931366661050209E-5</v>
      </c>
      <c r="E43" s="288"/>
    </row>
    <row r="44" spans="1:7" ht="16.5" customHeight="1" thickBot="1" x14ac:dyDescent="0.35">
      <c r="C44" s="284"/>
      <c r="D44" s="288"/>
      <c r="E44" s="287"/>
    </row>
    <row r="45" spans="1:7" ht="16.5" customHeight="1" thickBot="1" x14ac:dyDescent="0.35">
      <c r="B45" s="283" t="s">
        <v>37</v>
      </c>
      <c r="C45" s="286">
        <f>SUM(C24:C44)</f>
        <v>39544.630000000005</v>
      </c>
      <c r="D45" s="285"/>
      <c r="E45" s="284"/>
    </row>
    <row r="46" spans="1:7" ht="17.25" customHeight="1" thickBot="1" x14ac:dyDescent="0.35">
      <c r="B46" s="283" t="s">
        <v>38</v>
      </c>
      <c r="C46" s="282">
        <f>AVERAGE(C24:C44)</f>
        <v>1977.2315000000003</v>
      </c>
      <c r="E46" s="280"/>
    </row>
    <row r="47" spans="1:7" ht="17.25" customHeight="1" thickBot="1" x14ac:dyDescent="0.35">
      <c r="A47" s="261"/>
      <c r="B47" s="281"/>
      <c r="D47" s="276"/>
      <c r="E47" s="280"/>
    </row>
    <row r="48" spans="1:7" ht="33.75" customHeight="1" thickBot="1" x14ac:dyDescent="0.35">
      <c r="B48" s="279" t="s">
        <v>38</v>
      </c>
      <c r="C48" s="278" t="s">
        <v>39</v>
      </c>
      <c r="D48" s="277"/>
      <c r="G48" s="276"/>
    </row>
    <row r="49" spans="1:6" ht="17.25" customHeight="1" thickBot="1" x14ac:dyDescent="0.35">
      <c r="B49" s="554">
        <f>C46</f>
        <v>1977.2315000000003</v>
      </c>
      <c r="C49" s="275">
        <f>-IF(C46&lt;=80,10%,IF(C46&lt;250,7.5%,5%))</f>
        <v>-0.05</v>
      </c>
      <c r="D49" s="273">
        <f>IF(C46&lt;=80,C46*0.9,IF(C46&lt;250,C46*0.925,C46*0.95))</f>
        <v>1878.3699250000002</v>
      </c>
    </row>
    <row r="50" spans="1:6" ht="17.25" customHeight="1" thickBot="1" x14ac:dyDescent="0.35">
      <c r="B50" s="555"/>
      <c r="C50" s="274">
        <f>IF(C46&lt;=80, 10%, IF(C46&lt;250, 7.5%, 5%))</f>
        <v>0.05</v>
      </c>
      <c r="D50" s="273">
        <f>IF(C46&lt;=80, C46*1.1, IF(C46&lt;250, C46*1.075, C46*1.05))</f>
        <v>2076.0930750000002</v>
      </c>
    </row>
    <row r="51" spans="1:6" ht="16.5" customHeight="1" thickBot="1" x14ac:dyDescent="0.35">
      <c r="A51" s="272"/>
      <c r="B51" s="271"/>
      <c r="C51" s="261"/>
      <c r="D51" s="270"/>
      <c r="E51" s="261"/>
      <c r="F51" s="269"/>
    </row>
    <row r="52" spans="1:6" ht="16.5" customHeight="1" x14ac:dyDescent="0.3">
      <c r="A52" s="261"/>
      <c r="B52" s="268" t="s">
        <v>21</v>
      </c>
      <c r="C52" s="268"/>
      <c r="D52" s="266" t="s">
        <v>22</v>
      </c>
      <c r="E52" s="267"/>
      <c r="F52" s="266" t="s">
        <v>23</v>
      </c>
    </row>
    <row r="53" spans="1:6" ht="34.5" customHeight="1" x14ac:dyDescent="0.3">
      <c r="A53" s="264" t="s">
        <v>24</v>
      </c>
      <c r="B53" s="265"/>
      <c r="C53" s="261"/>
      <c r="D53" s="265"/>
      <c r="E53" s="261"/>
      <c r="F53" s="265"/>
    </row>
    <row r="54" spans="1:6" ht="34.5" customHeight="1" x14ac:dyDescent="0.3">
      <c r="A54" s="264" t="s">
        <v>25</v>
      </c>
      <c r="B54" s="262"/>
      <c r="C54" s="263"/>
      <c r="D54" s="262"/>
      <c r="E54" s="261"/>
      <c r="F54" s="260"/>
    </row>
  </sheetData>
  <sheetProtection password="F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50" zoomScaleNormal="75" zoomScaleSheetLayoutView="50" workbookViewId="0">
      <selection activeCell="F80" sqref="F80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41.140625" style="1" customWidth="1"/>
    <col min="9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  <col min="13" max="16384" width="9.140625" style="2"/>
  </cols>
  <sheetData>
    <row r="1" spans="1:8" x14ac:dyDescent="0.25">
      <c r="A1" s="563" t="s">
        <v>40</v>
      </c>
      <c r="B1" s="563"/>
      <c r="C1" s="563"/>
      <c r="D1" s="563"/>
      <c r="E1" s="563"/>
      <c r="F1" s="563"/>
      <c r="G1" s="563"/>
      <c r="H1" s="563"/>
    </row>
    <row r="2" spans="1:8" x14ac:dyDescent="0.25">
      <c r="A2" s="563"/>
      <c r="B2" s="563"/>
      <c r="C2" s="563"/>
      <c r="D2" s="563"/>
      <c r="E2" s="563"/>
      <c r="F2" s="563"/>
      <c r="G2" s="563"/>
      <c r="H2" s="563"/>
    </row>
    <row r="3" spans="1:8" x14ac:dyDescent="0.25">
      <c r="A3" s="563"/>
      <c r="B3" s="563"/>
      <c r="C3" s="563"/>
      <c r="D3" s="563"/>
      <c r="E3" s="563"/>
      <c r="F3" s="563"/>
      <c r="G3" s="563"/>
      <c r="H3" s="563"/>
    </row>
    <row r="4" spans="1:8" x14ac:dyDescent="0.25">
      <c r="A4" s="563"/>
      <c r="B4" s="563"/>
      <c r="C4" s="563"/>
      <c r="D4" s="563"/>
      <c r="E4" s="563"/>
      <c r="F4" s="563"/>
      <c r="G4" s="563"/>
      <c r="H4" s="563"/>
    </row>
    <row r="5" spans="1:8" x14ac:dyDescent="0.25">
      <c r="A5" s="563"/>
      <c r="B5" s="563"/>
      <c r="C5" s="563"/>
      <c r="D5" s="563"/>
      <c r="E5" s="563"/>
      <c r="F5" s="563"/>
      <c r="G5" s="563"/>
      <c r="H5" s="563"/>
    </row>
    <row r="6" spans="1:8" x14ac:dyDescent="0.25">
      <c r="A6" s="563"/>
      <c r="B6" s="563"/>
      <c r="C6" s="563"/>
      <c r="D6" s="563"/>
      <c r="E6" s="563"/>
      <c r="F6" s="563"/>
      <c r="G6" s="563"/>
      <c r="H6" s="563"/>
    </row>
    <row r="7" spans="1:8" x14ac:dyDescent="0.25">
      <c r="A7" s="563"/>
      <c r="B7" s="563"/>
      <c r="C7" s="563"/>
      <c r="D7" s="563"/>
      <c r="E7" s="563"/>
      <c r="F7" s="563"/>
      <c r="G7" s="563"/>
      <c r="H7" s="563"/>
    </row>
    <row r="8" spans="1:8" x14ac:dyDescent="0.25">
      <c r="A8" s="564" t="s">
        <v>41</v>
      </c>
      <c r="B8" s="564"/>
      <c r="C8" s="564"/>
      <c r="D8" s="564"/>
      <c r="E8" s="564"/>
      <c r="F8" s="564"/>
      <c r="G8" s="564"/>
      <c r="H8" s="564"/>
    </row>
    <row r="9" spans="1:8" x14ac:dyDescent="0.25">
      <c r="A9" s="564"/>
      <c r="B9" s="564"/>
      <c r="C9" s="564"/>
      <c r="D9" s="564"/>
      <c r="E9" s="564"/>
      <c r="F9" s="564"/>
      <c r="G9" s="564"/>
      <c r="H9" s="564"/>
    </row>
    <row r="10" spans="1:8" x14ac:dyDescent="0.25">
      <c r="A10" s="564"/>
      <c r="B10" s="564"/>
      <c r="C10" s="564"/>
      <c r="D10" s="564"/>
      <c r="E10" s="564"/>
      <c r="F10" s="564"/>
      <c r="G10" s="564"/>
      <c r="H10" s="564"/>
    </row>
    <row r="11" spans="1:8" x14ac:dyDescent="0.25">
      <c r="A11" s="564"/>
      <c r="B11" s="564"/>
      <c r="C11" s="564"/>
      <c r="D11" s="564"/>
      <c r="E11" s="564"/>
      <c r="F11" s="564"/>
      <c r="G11" s="564"/>
      <c r="H11" s="564"/>
    </row>
    <row r="12" spans="1:8" x14ac:dyDescent="0.25">
      <c r="A12" s="564"/>
      <c r="B12" s="564"/>
      <c r="C12" s="564"/>
      <c r="D12" s="564"/>
      <c r="E12" s="564"/>
      <c r="F12" s="564"/>
      <c r="G12" s="564"/>
      <c r="H12" s="564"/>
    </row>
    <row r="13" spans="1:8" x14ac:dyDescent="0.25">
      <c r="A13" s="564"/>
      <c r="B13" s="564"/>
      <c r="C13" s="564"/>
      <c r="D13" s="564"/>
      <c r="E13" s="564"/>
      <c r="F13" s="564"/>
      <c r="G13" s="564"/>
      <c r="H13" s="564"/>
    </row>
    <row r="14" spans="1:8" x14ac:dyDescent="0.25">
      <c r="A14" s="564"/>
      <c r="B14" s="564"/>
      <c r="C14" s="564"/>
      <c r="D14" s="564"/>
      <c r="E14" s="564"/>
      <c r="F14" s="564"/>
      <c r="G14" s="564"/>
      <c r="H14" s="564"/>
    </row>
    <row r="15" spans="1:8" ht="19.5" customHeight="1" thickBot="1" x14ac:dyDescent="0.3"/>
    <row r="16" spans="1:8" ht="19.5" customHeight="1" thickBot="1" x14ac:dyDescent="0.3">
      <c r="A16" s="565" t="s">
        <v>26</v>
      </c>
      <c r="B16" s="566"/>
      <c r="C16" s="566"/>
      <c r="D16" s="566"/>
      <c r="E16" s="566"/>
      <c r="F16" s="566"/>
      <c r="G16" s="566"/>
      <c r="H16" s="567"/>
    </row>
    <row r="17" spans="1:14" ht="18.75" x14ac:dyDescent="0.3">
      <c r="A17" s="5" t="s">
        <v>42</v>
      </c>
      <c r="B17" s="5"/>
    </row>
    <row r="18" spans="1:14" ht="18.75" x14ac:dyDescent="0.3">
      <c r="A18" s="6" t="s">
        <v>28</v>
      </c>
      <c r="B18" s="568" t="s">
        <v>112</v>
      </c>
      <c r="C18" s="568"/>
      <c r="D18" s="7"/>
      <c r="E18" s="7"/>
    </row>
    <row r="19" spans="1:14" ht="26.25" x14ac:dyDescent="0.4">
      <c r="A19" s="6" t="s">
        <v>29</v>
      </c>
      <c r="B19" s="302" t="s">
        <v>127</v>
      </c>
      <c r="C19" s="9">
        <v>24</v>
      </c>
    </row>
    <row r="20" spans="1:14" ht="18.75" x14ac:dyDescent="0.3">
      <c r="A20" s="6" t="s">
        <v>30</v>
      </c>
      <c r="B20" s="8" t="s">
        <v>113</v>
      </c>
    </row>
    <row r="21" spans="1:14" ht="18.75" x14ac:dyDescent="0.3">
      <c r="A21" s="6" t="s">
        <v>31</v>
      </c>
      <c r="B21" s="10" t="s">
        <v>115</v>
      </c>
      <c r="C21" s="10"/>
      <c r="D21" s="10"/>
      <c r="E21" s="10"/>
      <c r="F21" s="10"/>
      <c r="G21" s="10"/>
      <c r="H21" s="10"/>
      <c r="I21" s="10"/>
    </row>
    <row r="22" spans="1:14" ht="26.25" x14ac:dyDescent="0.4">
      <c r="A22" s="6" t="s">
        <v>32</v>
      </c>
      <c r="B22" s="303">
        <v>42783</v>
      </c>
    </row>
    <row r="23" spans="1:14" ht="26.25" x14ac:dyDescent="0.4">
      <c r="A23" s="6" t="s">
        <v>33</v>
      </c>
      <c r="B23" s="303">
        <v>42786</v>
      </c>
    </row>
    <row r="24" spans="1:14" ht="18.75" x14ac:dyDescent="0.3">
      <c r="A24" s="6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14" t="s">
        <v>116</v>
      </c>
      <c r="C26" s="15"/>
    </row>
    <row r="27" spans="1:14" ht="26.25" customHeight="1" x14ac:dyDescent="0.4">
      <c r="A27" s="16" t="s">
        <v>43</v>
      </c>
      <c r="B27" s="17" t="s">
        <v>129</v>
      </c>
    </row>
    <row r="28" spans="1:14" ht="27" customHeight="1" thickBot="1" x14ac:dyDescent="0.45">
      <c r="A28" s="16" t="s">
        <v>5</v>
      </c>
      <c r="B28" s="17">
        <v>99.6</v>
      </c>
    </row>
    <row r="29" spans="1:14" s="3" customFormat="1" ht="27" customHeight="1" thickBot="1" x14ac:dyDescent="0.45">
      <c r="A29" s="16" t="s">
        <v>44</v>
      </c>
      <c r="B29" s="17">
        <v>0</v>
      </c>
      <c r="C29" s="569" t="s">
        <v>45</v>
      </c>
      <c r="D29" s="570"/>
      <c r="E29" s="570"/>
      <c r="F29" s="570"/>
      <c r="G29" s="571"/>
      <c r="I29" s="18"/>
      <c r="J29" s="18"/>
      <c r="K29" s="18"/>
      <c r="L29" s="18"/>
    </row>
    <row r="30" spans="1:14" s="3" customFormat="1" ht="19.5" customHeight="1" thickBot="1" x14ac:dyDescent="0.35">
      <c r="A30" s="16" t="s">
        <v>46</v>
      </c>
      <c r="B30" s="19">
        <f>B28-B29</f>
        <v>99.6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 thickBot="1" x14ac:dyDescent="0.45">
      <c r="A31" s="16" t="s">
        <v>47</v>
      </c>
      <c r="B31" s="304">
        <v>704.9</v>
      </c>
      <c r="C31" s="560" t="s">
        <v>48</v>
      </c>
      <c r="D31" s="561"/>
      <c r="E31" s="561"/>
      <c r="F31" s="561"/>
      <c r="G31" s="561"/>
      <c r="H31" s="562"/>
      <c r="I31" s="18"/>
      <c r="J31" s="18"/>
      <c r="K31" s="18"/>
      <c r="L31" s="18"/>
    </row>
    <row r="32" spans="1:14" s="3" customFormat="1" ht="27" customHeight="1" thickBot="1" x14ac:dyDescent="0.45">
      <c r="A32" s="16" t="s">
        <v>49</v>
      </c>
      <c r="B32" s="304">
        <v>802.9</v>
      </c>
      <c r="C32" s="560" t="s">
        <v>50</v>
      </c>
      <c r="D32" s="561"/>
      <c r="E32" s="561"/>
      <c r="F32" s="561"/>
      <c r="G32" s="561"/>
      <c r="H32" s="562"/>
      <c r="I32" s="18"/>
      <c r="J32" s="18"/>
      <c r="K32" s="18"/>
      <c r="L32" s="23"/>
      <c r="M32" s="23"/>
      <c r="N32" s="24"/>
    </row>
    <row r="33" spans="1:14" s="3" customFormat="1" ht="17.25" customHeight="1" x14ac:dyDescent="0.3">
      <c r="A33" s="16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ht="18.75" x14ac:dyDescent="0.3">
      <c r="A34" s="16" t="s">
        <v>51</v>
      </c>
      <c r="B34" s="27">
        <f>B31/B32</f>
        <v>0.87794245858761988</v>
      </c>
      <c r="C34" s="9" t="s">
        <v>52</v>
      </c>
      <c r="D34" s="9"/>
      <c r="E34" s="9"/>
      <c r="F34" s="9"/>
      <c r="G34" s="9"/>
      <c r="I34" s="18"/>
      <c r="J34" s="18"/>
      <c r="K34" s="18"/>
      <c r="L34" s="23"/>
      <c r="M34" s="23"/>
      <c r="N34" s="24"/>
    </row>
    <row r="35" spans="1:14" s="3" customFormat="1" ht="19.5" customHeight="1" thickBot="1" x14ac:dyDescent="0.35">
      <c r="A35" s="16"/>
      <c r="B35" s="19"/>
      <c r="G35" s="9"/>
      <c r="I35" s="18"/>
      <c r="J35" s="18"/>
      <c r="K35" s="18"/>
      <c r="L35" s="23"/>
      <c r="M35" s="23"/>
      <c r="N35" s="24"/>
    </row>
    <row r="36" spans="1:14" s="3" customFormat="1" ht="27" customHeight="1" thickBot="1" x14ac:dyDescent="0.45">
      <c r="A36" s="28" t="s">
        <v>53</v>
      </c>
      <c r="B36" s="29">
        <v>50</v>
      </c>
      <c r="C36" s="9"/>
      <c r="D36" s="572" t="s">
        <v>54</v>
      </c>
      <c r="E36" s="573"/>
      <c r="F36" s="572" t="s">
        <v>55</v>
      </c>
      <c r="G36" s="574"/>
      <c r="J36" s="18"/>
      <c r="K36" s="18"/>
      <c r="L36" s="23"/>
      <c r="M36" s="23"/>
      <c r="N36" s="24"/>
    </row>
    <row r="37" spans="1:14" s="3" customFormat="1" ht="15.75" customHeight="1" x14ac:dyDescent="0.4">
      <c r="A37" s="30" t="s">
        <v>56</v>
      </c>
      <c r="B37" s="31">
        <v>1</v>
      </c>
      <c r="C37" s="32" t="s">
        <v>57</v>
      </c>
      <c r="D37" s="33" t="s">
        <v>58</v>
      </c>
      <c r="E37" s="34" t="s">
        <v>59</v>
      </c>
      <c r="F37" s="33" t="s">
        <v>58</v>
      </c>
      <c r="G37" s="35" t="s">
        <v>59</v>
      </c>
      <c r="J37" s="18"/>
      <c r="K37" s="18"/>
      <c r="L37" s="23"/>
      <c r="M37" s="23"/>
      <c r="N37" s="24"/>
    </row>
    <row r="38" spans="1:14" s="3" customFormat="1" ht="26.25" customHeight="1" x14ac:dyDescent="0.4">
      <c r="A38" s="30" t="s">
        <v>60</v>
      </c>
      <c r="B38" s="31">
        <v>1</v>
      </c>
      <c r="C38" s="36">
        <v>1</v>
      </c>
      <c r="D38" s="37">
        <v>70279464</v>
      </c>
      <c r="E38" s="38">
        <f>IF(ISBLANK(D38),"-",$D$48/$D$45*D38)</f>
        <v>75775757.440361738</v>
      </c>
      <c r="F38" s="37">
        <v>73630227</v>
      </c>
      <c r="G38" s="39">
        <f>IF(ISBLANK(F38),"-",$D$48/$F$45*F38)</f>
        <v>77057897.408788726</v>
      </c>
      <c r="J38" s="18"/>
      <c r="K38" s="18"/>
      <c r="L38" s="23"/>
      <c r="M38" s="23"/>
      <c r="N38" s="24"/>
    </row>
    <row r="39" spans="1:14" s="3" customFormat="1" ht="26.25" customHeight="1" x14ac:dyDescent="0.4">
      <c r="A39" s="30" t="s">
        <v>61</v>
      </c>
      <c r="B39" s="31">
        <v>1</v>
      </c>
      <c r="C39" s="40">
        <v>2</v>
      </c>
      <c r="D39" s="41">
        <v>70687547</v>
      </c>
      <c r="E39" s="42">
        <f>IF(ISBLANK(D39),"-",$D$48/$D$45*D39)</f>
        <v>76215755.082112893</v>
      </c>
      <c r="F39" s="41">
        <v>74240655</v>
      </c>
      <c r="G39" s="43">
        <f>IF(ISBLANK(F39),"-",$D$48/$F$45*F39)</f>
        <v>77696742.352176607</v>
      </c>
      <c r="J39" s="18"/>
      <c r="K39" s="18"/>
      <c r="L39" s="23"/>
      <c r="M39" s="23"/>
      <c r="N39" s="24"/>
    </row>
    <row r="40" spans="1:14" ht="26.25" customHeight="1" x14ac:dyDescent="0.4">
      <c r="A40" s="30" t="s">
        <v>62</v>
      </c>
      <c r="B40" s="31">
        <v>1</v>
      </c>
      <c r="C40" s="40">
        <v>3</v>
      </c>
      <c r="D40" s="41">
        <v>70588579</v>
      </c>
      <c r="E40" s="42">
        <f>IF(ISBLANK(D40),"-",$D$48/$D$45*D40)</f>
        <v>76109047.165809527</v>
      </c>
      <c r="F40" s="41">
        <v>74393763</v>
      </c>
      <c r="G40" s="43">
        <f>IF(ISBLANK(F40),"-",$D$48/$F$45*F40)</f>
        <v>77856977.91082108</v>
      </c>
      <c r="L40" s="23"/>
      <c r="M40" s="23"/>
      <c r="N40" s="9"/>
    </row>
    <row r="41" spans="1:14" ht="26.25" customHeight="1" x14ac:dyDescent="0.4">
      <c r="A41" s="30" t="s">
        <v>63</v>
      </c>
      <c r="B41" s="31">
        <v>1</v>
      </c>
      <c r="C41" s="44">
        <v>4</v>
      </c>
      <c r="D41" s="45"/>
      <c r="E41" s="46" t="str">
        <f>IF(ISBLANK(D41),"-",$D$48/$D$45*D41)</f>
        <v>-</v>
      </c>
      <c r="F41" s="45"/>
      <c r="G41" s="47" t="str">
        <f>IF(ISBLANK(F41),"-",$D$48/$F$45*F41)</f>
        <v>-</v>
      </c>
      <c r="L41" s="23"/>
      <c r="M41" s="23"/>
      <c r="N41" s="9"/>
    </row>
    <row r="42" spans="1:14" ht="27" customHeight="1" thickBot="1" x14ac:dyDescent="0.45">
      <c r="A42" s="30" t="s">
        <v>64</v>
      </c>
      <c r="B42" s="31">
        <v>1</v>
      </c>
      <c r="C42" s="48" t="s">
        <v>65</v>
      </c>
      <c r="D42" s="49">
        <f>AVERAGE(D38:D41)</f>
        <v>70518530</v>
      </c>
      <c r="E42" s="50">
        <f>AVERAGE(E38:E41)</f>
        <v>76033519.896094725</v>
      </c>
      <c r="F42" s="51">
        <f>AVERAGE(F38:F41)</f>
        <v>74088215</v>
      </c>
      <c r="G42" s="52">
        <f>AVERAGE(G38:G41)</f>
        <v>77537205.890595481</v>
      </c>
      <c r="H42" s="4"/>
    </row>
    <row r="43" spans="1:14" ht="26.25" customHeight="1" x14ac:dyDescent="0.4">
      <c r="A43" s="30" t="s">
        <v>66</v>
      </c>
      <c r="B43" s="17">
        <v>1</v>
      </c>
      <c r="C43" s="53" t="s">
        <v>67</v>
      </c>
      <c r="D43" s="54">
        <v>10.58</v>
      </c>
      <c r="E43" s="9"/>
      <c r="F43" s="55">
        <v>10.9</v>
      </c>
      <c r="H43" s="4"/>
    </row>
    <row r="44" spans="1:14" ht="26.25" customHeight="1" x14ac:dyDescent="0.4">
      <c r="A44" s="30" t="s">
        <v>68</v>
      </c>
      <c r="B44" s="17">
        <v>1</v>
      </c>
      <c r="C44" s="56" t="s">
        <v>69</v>
      </c>
      <c r="D44" s="57">
        <f>D43*$B$34</f>
        <v>9.2886312118570178</v>
      </c>
      <c r="E44" s="58"/>
      <c r="F44" s="59">
        <f>F43*$B$34</f>
        <v>9.5695727986050567</v>
      </c>
      <c r="H44" s="4"/>
    </row>
    <row r="45" spans="1:14" ht="19.5" customHeight="1" thickBot="1" x14ac:dyDescent="0.35">
      <c r="A45" s="30" t="s">
        <v>70</v>
      </c>
      <c r="B45" s="19">
        <f>(B44/B43)*(B42/B41)*(B40/B39)*(B38/B37)*B36</f>
        <v>50</v>
      </c>
      <c r="C45" s="56" t="s">
        <v>71</v>
      </c>
      <c r="D45" s="60">
        <f>D44*$B$30/100</f>
        <v>9.251476687009589</v>
      </c>
      <c r="E45" s="61"/>
      <c r="F45" s="62">
        <f>F44*$B$30/100</f>
        <v>9.5312945074106352</v>
      </c>
      <c r="H45" s="4"/>
    </row>
    <row r="46" spans="1:14" ht="19.5" customHeight="1" thickBot="1" x14ac:dyDescent="0.35">
      <c r="A46" s="575" t="s">
        <v>72</v>
      </c>
      <c r="B46" s="576"/>
      <c r="C46" s="56" t="s">
        <v>73</v>
      </c>
      <c r="D46" s="57">
        <f>D45/$B$45</f>
        <v>0.18502953374019179</v>
      </c>
      <c r="E46" s="61"/>
      <c r="F46" s="63">
        <f>F45/$B$45</f>
        <v>0.19062589014821271</v>
      </c>
      <c r="H46" s="4"/>
    </row>
    <row r="47" spans="1:14" ht="27" customHeight="1" thickBot="1" x14ac:dyDescent="0.45">
      <c r="A47" s="577"/>
      <c r="B47" s="578"/>
      <c r="C47" s="56" t="s">
        <v>74</v>
      </c>
      <c r="D47" s="64">
        <v>0.19950000000000001</v>
      </c>
      <c r="F47" s="65"/>
      <c r="H47" s="4"/>
    </row>
    <row r="48" spans="1:14" ht="18.75" x14ac:dyDescent="0.3">
      <c r="C48" s="56" t="s">
        <v>75</v>
      </c>
      <c r="D48" s="57">
        <f>D47*$B$45</f>
        <v>9.9750000000000014</v>
      </c>
      <c r="F48" s="65"/>
      <c r="H48" s="4"/>
    </row>
    <row r="49" spans="1:12" ht="19.5" customHeight="1" thickBot="1" x14ac:dyDescent="0.35">
      <c r="C49" s="66" t="s">
        <v>76</v>
      </c>
      <c r="D49" s="67">
        <f>D48/B34</f>
        <v>11.361792452830191</v>
      </c>
      <c r="F49" s="68"/>
      <c r="H49" s="4"/>
    </row>
    <row r="50" spans="1:12" ht="18.75" x14ac:dyDescent="0.3">
      <c r="C50" s="69" t="s">
        <v>77</v>
      </c>
      <c r="D50" s="70">
        <f>AVERAGE(E38:E41,G38:G41)</f>
        <v>76785362.893345103</v>
      </c>
      <c r="F50" s="68"/>
      <c r="H50" s="4"/>
    </row>
    <row r="51" spans="1:12" ht="18.75" x14ac:dyDescent="0.3">
      <c r="C51" s="71" t="s">
        <v>78</v>
      </c>
      <c r="D51" s="72">
        <f>STDEV(E38:E41,G38:G41)/D50</f>
        <v>1.1434449451413737E-2</v>
      </c>
      <c r="F51" s="68"/>
    </row>
    <row r="52" spans="1:12" ht="19.5" customHeight="1" thickBot="1" x14ac:dyDescent="0.35">
      <c r="C52" s="73" t="s">
        <v>15</v>
      </c>
      <c r="D52" s="74">
        <f>COUNT(E38:E41,G38:G41)</f>
        <v>6</v>
      </c>
      <c r="F52" s="68"/>
    </row>
    <row r="54" spans="1:12" ht="18.75" x14ac:dyDescent="0.3">
      <c r="A54" s="5" t="s">
        <v>1</v>
      </c>
      <c r="B54" s="75" t="s">
        <v>79</v>
      </c>
    </row>
    <row r="55" spans="1:12" ht="18.75" x14ac:dyDescent="0.3">
      <c r="A55" s="9" t="s">
        <v>80</v>
      </c>
      <c r="B55" s="76" t="str">
        <f>B21</f>
        <v xml:space="preserve">EACH TABLETS CONTAINS ATAZANAVIR AND RITONAVIR TALETS 300/100 </v>
      </c>
    </row>
    <row r="56" spans="1:12" ht="26.25" customHeight="1" x14ac:dyDescent="0.4">
      <c r="A56" s="76" t="s">
        <v>81</v>
      </c>
      <c r="B56" s="17">
        <v>300</v>
      </c>
      <c r="C56" s="9" t="str">
        <f>B20</f>
        <v>ATAZANAVIR</v>
      </c>
      <c r="H56" s="58"/>
    </row>
    <row r="57" spans="1:12" ht="18.75" x14ac:dyDescent="0.3">
      <c r="A57" s="76" t="s">
        <v>82</v>
      </c>
      <c r="B57" s="77">
        <f>Uniformity!C46</f>
        <v>1977.2315000000003</v>
      </c>
      <c r="H57" s="58"/>
    </row>
    <row r="58" spans="1:12" ht="19.5" customHeight="1" thickBot="1" x14ac:dyDescent="0.35">
      <c r="H58" s="58"/>
    </row>
    <row r="59" spans="1:12" s="3" customFormat="1" ht="27" customHeight="1" thickBot="1" x14ac:dyDescent="0.45">
      <c r="A59" s="28" t="s">
        <v>83</v>
      </c>
      <c r="B59" s="29">
        <v>200</v>
      </c>
      <c r="C59" s="9"/>
      <c r="D59" s="78" t="s">
        <v>84</v>
      </c>
      <c r="E59" s="79" t="s">
        <v>85</v>
      </c>
      <c r="F59" s="79" t="s">
        <v>58</v>
      </c>
      <c r="G59" s="79" t="s">
        <v>86</v>
      </c>
      <c r="H59" s="32" t="s">
        <v>87</v>
      </c>
      <c r="L59" s="18"/>
    </row>
    <row r="60" spans="1:12" s="3" customFormat="1" ht="22.5" customHeight="1" x14ac:dyDescent="0.4">
      <c r="A60" s="30" t="s">
        <v>88</v>
      </c>
      <c r="B60" s="31">
        <v>3</v>
      </c>
      <c r="C60" s="579" t="s">
        <v>89</v>
      </c>
      <c r="D60" s="582">
        <v>1969.22</v>
      </c>
      <c r="E60" s="80">
        <v>1</v>
      </c>
      <c r="F60" s="81"/>
      <c r="G60" s="82" t="str">
        <f>IF(ISBLANK(F60),"-",(F60/$D$50*$D$47*$B$68)*($B$57/$D$60))</f>
        <v>-</v>
      </c>
      <c r="H60" s="83" t="str">
        <f t="shared" ref="H60:H71" si="0">IF(ISBLANK(F60),"-",G60/$B$56)</f>
        <v>-</v>
      </c>
      <c r="L60" s="18"/>
    </row>
    <row r="61" spans="1:12" s="3" customFormat="1" ht="26.25" customHeight="1" x14ac:dyDescent="0.4">
      <c r="A61" s="30" t="s">
        <v>90</v>
      </c>
      <c r="B61" s="31">
        <v>25</v>
      </c>
      <c r="C61" s="580"/>
      <c r="D61" s="583"/>
      <c r="E61" s="84">
        <v>2</v>
      </c>
      <c r="F61" s="41"/>
      <c r="G61" s="85" t="str">
        <f>IF(ISBLANK(F61),"-",(F61/$D$50*$D$47*$B$68)*($B$57/$D$60))</f>
        <v>-</v>
      </c>
      <c r="H61" s="86" t="str">
        <f t="shared" si="0"/>
        <v>-</v>
      </c>
      <c r="L61" s="18"/>
    </row>
    <row r="62" spans="1:12" s="3" customFormat="1" ht="26.25" customHeight="1" x14ac:dyDescent="0.4">
      <c r="A62" s="30" t="s">
        <v>91</v>
      </c>
      <c r="B62" s="31">
        <v>1</v>
      </c>
      <c r="C62" s="580"/>
      <c r="D62" s="583"/>
      <c r="E62" s="84">
        <v>3</v>
      </c>
      <c r="F62" s="41"/>
      <c r="G62" s="85" t="str">
        <f>IF(ISBLANK(F62),"-",(F62/$D$50*$D$47*$B$68)*($B$57/$D$60))</f>
        <v>-</v>
      </c>
      <c r="H62" s="86" t="str">
        <f t="shared" si="0"/>
        <v>-</v>
      </c>
      <c r="L62" s="18"/>
    </row>
    <row r="63" spans="1:12" ht="21" customHeight="1" thickBot="1" x14ac:dyDescent="0.45">
      <c r="A63" s="30" t="s">
        <v>92</v>
      </c>
      <c r="B63" s="31">
        <v>1</v>
      </c>
      <c r="C63" s="581"/>
      <c r="D63" s="584"/>
      <c r="E63" s="87">
        <v>4</v>
      </c>
      <c r="F63" s="88"/>
      <c r="G63" s="85" t="str">
        <f>IF(ISBLANK(F63),"-",(F63/$D$50*$D$47*$B$68)*($B$57/$D$60))</f>
        <v>-</v>
      </c>
      <c r="H63" s="86" t="str">
        <f t="shared" si="0"/>
        <v>-</v>
      </c>
    </row>
    <row r="64" spans="1:12" ht="26.25" customHeight="1" x14ac:dyDescent="0.4">
      <c r="A64" s="30" t="s">
        <v>93</v>
      </c>
      <c r="B64" s="31">
        <v>1</v>
      </c>
      <c r="C64" s="579" t="s">
        <v>94</v>
      </c>
      <c r="D64" s="582">
        <v>1979.52</v>
      </c>
      <c r="E64" s="80">
        <v>1</v>
      </c>
      <c r="F64" s="81">
        <v>72683005</v>
      </c>
      <c r="G64" s="89">
        <f>IF(ISBLANK(F64),"-",(F64/$D$50*$D$47*$B$68)*($B$57/$D$64))</f>
        <v>314.37189265307711</v>
      </c>
      <c r="H64" s="90">
        <f t="shared" si="0"/>
        <v>1.0479063088435903</v>
      </c>
    </row>
    <row r="65" spans="1:8" ht="26.25" customHeight="1" x14ac:dyDescent="0.4">
      <c r="A65" s="30" t="s">
        <v>95</v>
      </c>
      <c r="B65" s="31">
        <v>1</v>
      </c>
      <c r="C65" s="580"/>
      <c r="D65" s="583"/>
      <c r="E65" s="84">
        <v>2</v>
      </c>
      <c r="F65" s="41">
        <v>72625235</v>
      </c>
      <c r="G65" s="91">
        <f>IF(ISBLANK(F65),"-",(F65/$D$50*$D$47*$B$68)*($B$57/$D$64))</f>
        <v>314.12202317893298</v>
      </c>
      <c r="H65" s="92">
        <f t="shared" si="0"/>
        <v>1.0470734105964432</v>
      </c>
    </row>
    <row r="66" spans="1:8" ht="26.25" customHeight="1" x14ac:dyDescent="0.4">
      <c r="A66" s="30" t="s">
        <v>96</v>
      </c>
      <c r="B66" s="31">
        <v>1</v>
      </c>
      <c r="C66" s="580"/>
      <c r="D66" s="583"/>
      <c r="E66" s="84">
        <v>3</v>
      </c>
      <c r="F66" s="41">
        <v>72565791</v>
      </c>
      <c r="G66" s="91">
        <f>IF(ISBLANK(F66),"-",(F66/$D$50*$D$47*$B$68)*($B$57/$D$64))</f>
        <v>313.86491324261607</v>
      </c>
      <c r="H66" s="92">
        <f t="shared" si="0"/>
        <v>1.046216377475387</v>
      </c>
    </row>
    <row r="67" spans="1:8" ht="21" customHeight="1" thickBot="1" x14ac:dyDescent="0.45">
      <c r="A67" s="30" t="s">
        <v>97</v>
      </c>
      <c r="B67" s="31">
        <v>1</v>
      </c>
      <c r="C67" s="581"/>
      <c r="D67" s="584"/>
      <c r="E67" s="87">
        <v>4</v>
      </c>
      <c r="F67" s="88"/>
      <c r="G67" s="93" t="str">
        <f>IF(ISBLANK(F67),"-",(F67/$D$50*$D$47*$B$68)*($B$57/$D$64))</f>
        <v>-</v>
      </c>
      <c r="H67" s="94" t="str">
        <f t="shared" si="0"/>
        <v>-</v>
      </c>
    </row>
    <row r="68" spans="1:8" ht="21.75" customHeight="1" x14ac:dyDescent="0.4">
      <c r="A68" s="30" t="s">
        <v>98</v>
      </c>
      <c r="B68" s="95">
        <f>(B67/B66)*(B65/B64)*(B63/B62)*(B61/B60)*B59</f>
        <v>1666.6666666666667</v>
      </c>
      <c r="C68" s="579" t="s">
        <v>99</v>
      </c>
      <c r="D68" s="582">
        <v>1977.16</v>
      </c>
      <c r="E68" s="80">
        <v>1</v>
      </c>
      <c r="F68" s="81">
        <v>73143511</v>
      </c>
      <c r="G68" s="89">
        <f>IF(ISBLANK(F68),"-",(F68/$D$50*$D$47*$B$68)*($B$57/$D$68))</f>
        <v>316.74131608713009</v>
      </c>
      <c r="H68" s="86">
        <f t="shared" si="0"/>
        <v>1.0558043869571003</v>
      </c>
    </row>
    <row r="69" spans="1:8" ht="21.75" customHeight="1" thickBot="1" x14ac:dyDescent="0.45">
      <c r="A69" s="96" t="s">
        <v>100</v>
      </c>
      <c r="B69" s="97">
        <f>D47*B68/B56*B57</f>
        <v>2191.4315791666677</v>
      </c>
      <c r="C69" s="580"/>
      <c r="D69" s="583"/>
      <c r="E69" s="84">
        <v>2</v>
      </c>
      <c r="F69" s="41">
        <v>73241576</v>
      </c>
      <c r="G69" s="91">
        <f>IF(ISBLANK(F69),"-",(F69/$D$50*$D$47*$B$68)*($B$57/$D$68))</f>
        <v>317.16597764271336</v>
      </c>
      <c r="H69" s="86">
        <f t="shared" si="0"/>
        <v>1.0572199254757111</v>
      </c>
    </row>
    <row r="70" spans="1:8" ht="22.5" customHeight="1" x14ac:dyDescent="0.4">
      <c r="A70" s="588" t="s">
        <v>72</v>
      </c>
      <c r="B70" s="589"/>
      <c r="C70" s="580"/>
      <c r="D70" s="583"/>
      <c r="E70" s="84">
        <v>3</v>
      </c>
      <c r="F70" s="41">
        <v>73489496</v>
      </c>
      <c r="G70" s="91">
        <f>IF(ISBLANK(F70),"-",(F70/$D$50*$D$47*$B$68)*($B$57/$D$68))</f>
        <v>318.23957263440468</v>
      </c>
      <c r="H70" s="86">
        <f t="shared" si="0"/>
        <v>1.0607985754480156</v>
      </c>
    </row>
    <row r="71" spans="1:8" ht="21.75" customHeight="1" thickBot="1" x14ac:dyDescent="0.45">
      <c r="A71" s="590"/>
      <c r="B71" s="591"/>
      <c r="C71" s="587"/>
      <c r="D71" s="584"/>
      <c r="E71" s="87">
        <v>4</v>
      </c>
      <c r="F71" s="88"/>
      <c r="G71" s="93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4">
      <c r="A72" s="58"/>
      <c r="B72" s="58"/>
      <c r="C72" s="58"/>
      <c r="D72" s="58"/>
      <c r="E72" s="58"/>
      <c r="F72" s="58"/>
      <c r="G72" s="99" t="s">
        <v>65</v>
      </c>
      <c r="H72" s="100">
        <f>AVERAGE(H60:H71)</f>
        <v>1.0525031641327078</v>
      </c>
    </row>
    <row r="73" spans="1:8" ht="26.25" customHeight="1" x14ac:dyDescent="0.4">
      <c r="C73" s="58"/>
      <c r="D73" s="58"/>
      <c r="E73" s="58"/>
      <c r="F73" s="58"/>
      <c r="G73" s="71" t="s">
        <v>78</v>
      </c>
      <c r="H73" s="101">
        <f>STDEV(H60:H71)/H72</f>
        <v>5.8891361259994241E-3</v>
      </c>
    </row>
    <row r="74" spans="1:8" ht="27" customHeight="1" thickBot="1" x14ac:dyDescent="0.45">
      <c r="A74" s="58"/>
      <c r="B74" s="58"/>
      <c r="C74" s="58"/>
      <c r="D74" s="58"/>
      <c r="E74" s="61"/>
      <c r="F74" s="58"/>
      <c r="G74" s="73" t="s">
        <v>15</v>
      </c>
      <c r="H74" s="102">
        <f>COUNT(H60:H71)</f>
        <v>6</v>
      </c>
    </row>
    <row r="75" spans="1:8" ht="18.75" x14ac:dyDescent="0.3">
      <c r="A75" s="58"/>
      <c r="B75" s="58"/>
      <c r="C75" s="58"/>
      <c r="D75" s="58"/>
      <c r="E75" s="61"/>
      <c r="F75" s="58"/>
      <c r="G75" s="16"/>
      <c r="H75" s="19"/>
    </row>
    <row r="76" spans="1:8" ht="18.75" x14ac:dyDescent="0.3">
      <c r="A76" s="13" t="s">
        <v>101</v>
      </c>
      <c r="B76" s="16" t="s">
        <v>102</v>
      </c>
      <c r="C76" s="592" t="str">
        <f>B20</f>
        <v>ATAZANAVIR</v>
      </c>
      <c r="D76" s="592"/>
      <c r="E76" s="9" t="s">
        <v>103</v>
      </c>
      <c r="F76" s="9"/>
      <c r="G76" s="103">
        <f>H72</f>
        <v>1.0525031641327078</v>
      </c>
      <c r="H76" s="19"/>
    </row>
    <row r="77" spans="1:8" ht="18.75" x14ac:dyDescent="0.3">
      <c r="A77" s="58"/>
      <c r="B77" s="58"/>
      <c r="C77" s="58"/>
      <c r="D77" s="58"/>
      <c r="E77" s="61"/>
      <c r="F77" s="58"/>
      <c r="G77" s="16"/>
      <c r="H77" s="19"/>
    </row>
    <row r="78" spans="1:8" ht="26.25" customHeight="1" x14ac:dyDescent="0.4">
      <c r="A78" s="12" t="s">
        <v>104</v>
      </c>
      <c r="B78" s="12" t="s">
        <v>105</v>
      </c>
      <c r="D78" s="104">
        <v>45</v>
      </c>
    </row>
    <row r="79" spans="1:8" ht="18.75" x14ac:dyDescent="0.3">
      <c r="A79" s="12"/>
      <c r="B79" s="12"/>
    </row>
    <row r="80" spans="1:8" ht="26.25" customHeight="1" x14ac:dyDescent="0.4">
      <c r="A80" s="13" t="s">
        <v>4</v>
      </c>
      <c r="B80" s="17" t="str">
        <f>B26</f>
        <v>Atazanavi Sulfate</v>
      </c>
      <c r="C80" s="15"/>
    </row>
    <row r="81" spans="1:12" ht="26.25" customHeight="1" x14ac:dyDescent="0.4">
      <c r="A81" s="16" t="s">
        <v>43</v>
      </c>
      <c r="B81" s="17" t="s">
        <v>129</v>
      </c>
    </row>
    <row r="82" spans="1:12" ht="27" customHeight="1" thickBot="1" x14ac:dyDescent="0.45">
      <c r="A82" s="16" t="s">
        <v>5</v>
      </c>
      <c r="B82" s="17">
        <f>B28</f>
        <v>99.6</v>
      </c>
    </row>
    <row r="83" spans="1:12" s="3" customFormat="1" ht="27" customHeight="1" thickBot="1" x14ac:dyDescent="0.45">
      <c r="A83" s="16" t="s">
        <v>44</v>
      </c>
      <c r="B83" s="17">
        <f>B29</f>
        <v>0</v>
      </c>
      <c r="C83" s="569" t="s">
        <v>45</v>
      </c>
      <c r="D83" s="570"/>
      <c r="E83" s="570"/>
      <c r="F83" s="570"/>
      <c r="G83" s="571"/>
      <c r="I83" s="18"/>
      <c r="J83" s="18"/>
      <c r="K83" s="18"/>
      <c r="L83" s="18"/>
    </row>
    <row r="84" spans="1:12" s="3" customFormat="1" ht="18.75" x14ac:dyDescent="0.3">
      <c r="A84" s="16" t="s">
        <v>46</v>
      </c>
      <c r="B84" s="19">
        <f>B82-B83</f>
        <v>99.6</v>
      </c>
      <c r="C84" s="20"/>
      <c r="D84" s="20"/>
      <c r="E84" s="20"/>
      <c r="F84" s="20"/>
      <c r="G84" s="21"/>
      <c r="I84" s="18"/>
      <c r="J84" s="18"/>
      <c r="K84" s="18"/>
      <c r="L84" s="18"/>
    </row>
    <row r="85" spans="1:12" s="3" customFormat="1" ht="19.5" customHeight="1" thickBot="1" x14ac:dyDescent="0.35">
      <c r="A85" s="16"/>
      <c r="B85" s="19"/>
      <c r="C85" s="20"/>
      <c r="D85" s="20"/>
      <c r="E85" s="20"/>
      <c r="F85" s="20"/>
      <c r="G85" s="21"/>
      <c r="I85" s="18"/>
      <c r="J85" s="18"/>
      <c r="K85" s="18"/>
      <c r="L85" s="18"/>
    </row>
    <row r="86" spans="1:12" s="3" customFormat="1" ht="27" customHeight="1" thickBot="1" x14ac:dyDescent="0.45">
      <c r="A86" s="16" t="s">
        <v>47</v>
      </c>
      <c r="B86" s="22">
        <v>704.9</v>
      </c>
      <c r="C86" s="560" t="s">
        <v>48</v>
      </c>
      <c r="D86" s="561"/>
      <c r="E86" s="561"/>
      <c r="F86" s="561"/>
      <c r="G86" s="561"/>
      <c r="H86" s="562"/>
      <c r="I86" s="18"/>
      <c r="J86" s="18"/>
      <c r="K86" s="18"/>
      <c r="L86" s="18"/>
    </row>
    <row r="87" spans="1:12" s="3" customFormat="1" ht="27" customHeight="1" thickBot="1" x14ac:dyDescent="0.45">
      <c r="A87" s="16" t="s">
        <v>49</v>
      </c>
      <c r="B87" s="22">
        <v>802.9</v>
      </c>
      <c r="C87" s="560" t="s">
        <v>50</v>
      </c>
      <c r="D87" s="561"/>
      <c r="E87" s="561"/>
      <c r="F87" s="561"/>
      <c r="G87" s="561"/>
      <c r="H87" s="562"/>
      <c r="I87" s="18"/>
      <c r="J87" s="18"/>
      <c r="K87" s="18"/>
      <c r="L87" s="18"/>
    </row>
    <row r="88" spans="1:12" s="3" customFormat="1" ht="18.75" x14ac:dyDescent="0.3">
      <c r="A88" s="16"/>
      <c r="B88" s="19"/>
      <c r="C88" s="20"/>
      <c r="D88" s="20"/>
      <c r="E88" s="20"/>
      <c r="F88" s="20"/>
      <c r="G88" s="21"/>
      <c r="I88" s="18"/>
      <c r="J88" s="18"/>
      <c r="K88" s="18"/>
      <c r="L88" s="18"/>
    </row>
    <row r="89" spans="1:12" ht="18.75" x14ac:dyDescent="0.3">
      <c r="A89" s="16" t="s">
        <v>51</v>
      </c>
      <c r="B89" s="27">
        <f>B86/B87</f>
        <v>0.87794245858761988</v>
      </c>
      <c r="C89" s="9" t="s">
        <v>52</v>
      </c>
    </row>
    <row r="90" spans="1:12" ht="19.5" customHeight="1" thickBot="1" x14ac:dyDescent="0.35">
      <c r="A90" s="16"/>
      <c r="B90" s="27"/>
    </row>
    <row r="91" spans="1:12" ht="27" customHeight="1" thickBot="1" x14ac:dyDescent="0.45">
      <c r="A91" s="28" t="s">
        <v>53</v>
      </c>
      <c r="B91" s="29">
        <v>25</v>
      </c>
      <c r="D91" s="105" t="s">
        <v>54</v>
      </c>
      <c r="E91" s="106"/>
      <c r="F91" s="572" t="s">
        <v>55</v>
      </c>
      <c r="G91" s="574"/>
    </row>
    <row r="92" spans="1:12" ht="26.25" customHeight="1" x14ac:dyDescent="0.4">
      <c r="A92" s="30" t="s">
        <v>56</v>
      </c>
      <c r="B92" s="31">
        <v>10</v>
      </c>
      <c r="C92" s="107" t="s">
        <v>57</v>
      </c>
      <c r="D92" s="33" t="s">
        <v>58</v>
      </c>
      <c r="E92" s="34" t="s">
        <v>59</v>
      </c>
      <c r="F92" s="33" t="s">
        <v>58</v>
      </c>
      <c r="G92" s="35" t="s">
        <v>59</v>
      </c>
    </row>
    <row r="93" spans="1:12" ht="26.25" customHeight="1" x14ac:dyDescent="0.4">
      <c r="A93" s="30" t="s">
        <v>60</v>
      </c>
      <c r="B93" s="31">
        <v>20</v>
      </c>
      <c r="C93" s="108">
        <v>1</v>
      </c>
      <c r="D93" s="37">
        <v>49748026</v>
      </c>
      <c r="E93" s="38">
        <f>IF(ISBLANK(D93),"-",$D$103/$D$100*D93)</f>
        <v>59386120.131553583</v>
      </c>
      <c r="F93" s="37">
        <v>54371047</v>
      </c>
      <c r="G93" s="39">
        <f>IF(ISBLANK(F93),"-",$D$103/$F$100*F93)</f>
        <v>60328714.937278859</v>
      </c>
    </row>
    <row r="94" spans="1:12" ht="26.25" customHeight="1" x14ac:dyDescent="0.4">
      <c r="A94" s="30" t="s">
        <v>61</v>
      </c>
      <c r="B94" s="31">
        <v>1</v>
      </c>
      <c r="C94" s="58">
        <v>2</v>
      </c>
      <c r="D94" s="41">
        <v>49788395</v>
      </c>
      <c r="E94" s="42">
        <f>IF(ISBLANK(D94),"-",$D$103/$D$100*D94)</f>
        <v>59434310.14985884</v>
      </c>
      <c r="F94" s="41">
        <v>54360841</v>
      </c>
      <c r="G94" s="43">
        <f>IF(ISBLANK(F94),"-",$D$103/$F$100*F94)</f>
        <v>60317390.622250497</v>
      </c>
    </row>
    <row r="95" spans="1:12" ht="26.25" customHeight="1" x14ac:dyDescent="0.4">
      <c r="A95" s="30" t="s">
        <v>62</v>
      </c>
      <c r="B95" s="31">
        <v>1</v>
      </c>
      <c r="C95" s="58">
        <v>3</v>
      </c>
      <c r="D95" s="41">
        <v>49890322</v>
      </c>
      <c r="E95" s="42">
        <f>IF(ISBLANK(D95),"-",$D$103/$D$100*D95)</f>
        <v>59555984.305666529</v>
      </c>
      <c r="F95" s="41">
        <v>54434590</v>
      </c>
      <c r="G95" s="43">
        <f>IF(ISBLANK(F95),"-",$D$103/$F$100*F95)</f>
        <v>60399220.615296416</v>
      </c>
    </row>
    <row r="96" spans="1:12" ht="26.25" customHeight="1" x14ac:dyDescent="0.4">
      <c r="A96" s="30" t="s">
        <v>63</v>
      </c>
      <c r="B96" s="31">
        <v>1</v>
      </c>
      <c r="C96" s="109">
        <v>4</v>
      </c>
      <c r="D96" s="45"/>
      <c r="E96" s="46" t="str">
        <f>IF(ISBLANK(D96),"-",$D$103/$D$100*D96)</f>
        <v>-</v>
      </c>
      <c r="F96" s="110"/>
      <c r="G96" s="47" t="str">
        <f>IF(ISBLANK(F96),"-",$D$103/$F$100*F96)</f>
        <v>-</v>
      </c>
    </row>
    <row r="97" spans="1:10" ht="27" customHeight="1" thickBot="1" x14ac:dyDescent="0.45">
      <c r="A97" s="30" t="s">
        <v>64</v>
      </c>
      <c r="B97" s="31">
        <v>1</v>
      </c>
      <c r="C97" s="16" t="s">
        <v>65</v>
      </c>
      <c r="D97" s="111">
        <f>AVERAGE(D93:D96)</f>
        <v>49808914.333333336</v>
      </c>
      <c r="E97" s="50">
        <f>AVERAGE(E93:E96)</f>
        <v>59458804.86235965</v>
      </c>
      <c r="F97" s="112">
        <f>AVERAGE(F93:F96)</f>
        <v>54388826</v>
      </c>
      <c r="G97" s="113">
        <f>AVERAGE(G93:G96)</f>
        <v>60348442.05827526</v>
      </c>
    </row>
    <row r="98" spans="1:10" ht="26.25" customHeight="1" x14ac:dyDescent="0.4">
      <c r="A98" s="30" t="s">
        <v>66</v>
      </c>
      <c r="B98" s="17">
        <v>1</v>
      </c>
      <c r="C98" s="53" t="s">
        <v>67</v>
      </c>
      <c r="D98" s="54">
        <v>14.37</v>
      </c>
      <c r="E98" s="9"/>
      <c r="F98" s="55">
        <v>15.46</v>
      </c>
    </row>
    <row r="99" spans="1:10" ht="26.25" customHeight="1" x14ac:dyDescent="0.4">
      <c r="A99" s="30" t="s">
        <v>68</v>
      </c>
      <c r="B99" s="17">
        <v>1</v>
      </c>
      <c r="C99" s="56" t="s">
        <v>69</v>
      </c>
      <c r="D99" s="57">
        <f>D98*$B$89</f>
        <v>12.616033129904096</v>
      </c>
      <c r="E99" s="58"/>
      <c r="F99" s="59">
        <f>F98*$B$89</f>
        <v>13.572990409764603</v>
      </c>
    </row>
    <row r="100" spans="1:10" ht="19.5" customHeight="1" thickBot="1" x14ac:dyDescent="0.35">
      <c r="A100" s="30" t="s">
        <v>70</v>
      </c>
      <c r="B100" s="19">
        <f>(B99/B98)*(B97/B96)*(B95/B94)*(B93/B92)*B91</f>
        <v>50</v>
      </c>
      <c r="C100" s="56" t="s">
        <v>71</v>
      </c>
      <c r="D100" s="60">
        <f>D99*$B$84/100</f>
        <v>12.56556899738448</v>
      </c>
      <c r="E100" s="61"/>
      <c r="F100" s="62">
        <f>F99*$B$84/100</f>
        <v>13.518698448125544</v>
      </c>
    </row>
    <row r="101" spans="1:10" ht="19.5" customHeight="1" thickBot="1" x14ac:dyDescent="0.35">
      <c r="A101" s="575" t="s">
        <v>72</v>
      </c>
      <c r="B101" s="576"/>
      <c r="C101" s="56" t="s">
        <v>73</v>
      </c>
      <c r="D101" s="57">
        <f>D100/$B$100</f>
        <v>0.25131137994768959</v>
      </c>
      <c r="E101" s="61"/>
      <c r="F101" s="63">
        <f>F100/$B$100</f>
        <v>0.27037396896251087</v>
      </c>
      <c r="H101" s="4"/>
    </row>
    <row r="102" spans="1:10" ht="19.5" customHeight="1" thickBot="1" x14ac:dyDescent="0.35">
      <c r="A102" s="577"/>
      <c r="B102" s="578"/>
      <c r="C102" s="56" t="s">
        <v>74</v>
      </c>
      <c r="D102" s="60">
        <f>$B$56/$B$118</f>
        <v>0.3</v>
      </c>
      <c r="F102" s="65"/>
      <c r="G102" s="114"/>
      <c r="H102" s="4"/>
    </row>
    <row r="103" spans="1:10" ht="18.75" x14ac:dyDescent="0.3">
      <c r="C103" s="56" t="s">
        <v>75</v>
      </c>
      <c r="D103" s="57">
        <f>D102*$B$100</f>
        <v>15</v>
      </c>
      <c r="F103" s="65"/>
      <c r="H103" s="4"/>
    </row>
    <row r="104" spans="1:10" ht="19.5" customHeight="1" thickBot="1" x14ac:dyDescent="0.35">
      <c r="C104" s="66" t="s">
        <v>76</v>
      </c>
      <c r="D104" s="67">
        <f>D103/B34</f>
        <v>17.08540218470705</v>
      </c>
      <c r="F104" s="68"/>
      <c r="H104" s="4"/>
      <c r="J104" s="115"/>
    </row>
    <row r="105" spans="1:10" ht="18.75" x14ac:dyDescent="0.3">
      <c r="C105" s="69" t="s">
        <v>77</v>
      </c>
      <c r="D105" s="70">
        <f>AVERAGE(E93:E96,G93:G96)</f>
        <v>59903623.460317463</v>
      </c>
      <c r="F105" s="68"/>
      <c r="G105" s="114"/>
      <c r="H105" s="4"/>
      <c r="J105" s="116"/>
    </row>
    <row r="106" spans="1:10" ht="18.75" x14ac:dyDescent="0.3">
      <c r="C106" s="71" t="s">
        <v>78</v>
      </c>
      <c r="D106" s="117">
        <f>STDEV(E93:E96,G93:G96)/D105</f>
        <v>8.2000180829194559E-3</v>
      </c>
      <c r="F106" s="68"/>
      <c r="H106" s="4"/>
      <c r="J106" s="116"/>
    </row>
    <row r="107" spans="1:10" ht="19.5" customHeight="1" thickBot="1" x14ac:dyDescent="0.35">
      <c r="C107" s="73" t="s">
        <v>15</v>
      </c>
      <c r="D107" s="118">
        <f>COUNT(E93:E96,G93:G96)</f>
        <v>6</v>
      </c>
      <c r="F107" s="68"/>
      <c r="H107" s="4"/>
      <c r="J107" s="116"/>
    </row>
    <row r="108" spans="1:10" ht="19.5" customHeight="1" thickBot="1" x14ac:dyDescent="0.35">
      <c r="A108" s="5"/>
      <c r="B108" s="5"/>
      <c r="C108" s="5"/>
      <c r="D108" s="5"/>
      <c r="E108" s="5"/>
    </row>
    <row r="109" spans="1:10" ht="26.25" customHeight="1" x14ac:dyDescent="0.4">
      <c r="A109" s="28" t="s">
        <v>106</v>
      </c>
      <c r="B109" s="29">
        <v>1000</v>
      </c>
      <c r="C109" s="105" t="s">
        <v>107</v>
      </c>
      <c r="D109" s="119" t="s">
        <v>58</v>
      </c>
      <c r="E109" s="120" t="s">
        <v>108</v>
      </c>
      <c r="F109" s="121" t="s">
        <v>109</v>
      </c>
    </row>
    <row r="110" spans="1:10" ht="26.25" customHeight="1" x14ac:dyDescent="0.4">
      <c r="A110" s="30" t="s">
        <v>88</v>
      </c>
      <c r="B110" s="31">
        <v>1</v>
      </c>
      <c r="C110" s="122">
        <v>1</v>
      </c>
      <c r="D110" s="123">
        <v>47753701</v>
      </c>
      <c r="E110" s="124">
        <f t="shared" ref="E110:E115" si="1">IF(ISBLANK(D110),"-",D110/$D$105*$D$102*$B$118)</f>
        <v>239.15265008117888</v>
      </c>
      <c r="F110" s="125">
        <f t="shared" ref="F110:F115" si="2">IF(ISBLANK(D110), "-", E110/$B$56)</f>
        <v>0.79717550027059625</v>
      </c>
    </row>
    <row r="111" spans="1:10" ht="26.25" customHeight="1" x14ac:dyDescent="0.4">
      <c r="A111" s="30" t="s">
        <v>90</v>
      </c>
      <c r="B111" s="31">
        <v>1</v>
      </c>
      <c r="C111" s="122">
        <v>2</v>
      </c>
      <c r="D111" s="123">
        <v>47777877</v>
      </c>
      <c r="E111" s="126">
        <f t="shared" si="1"/>
        <v>239.27372456016766</v>
      </c>
      <c r="F111" s="127">
        <f t="shared" si="2"/>
        <v>0.79757908186722559</v>
      </c>
    </row>
    <row r="112" spans="1:10" ht="26.25" customHeight="1" x14ac:dyDescent="0.4">
      <c r="A112" s="30" t="s">
        <v>91</v>
      </c>
      <c r="B112" s="31">
        <v>1</v>
      </c>
      <c r="C112" s="122">
        <v>3</v>
      </c>
      <c r="D112" s="123">
        <v>47929436</v>
      </c>
      <c r="E112" s="126">
        <f t="shared" si="1"/>
        <v>240.03273874618131</v>
      </c>
      <c r="F112" s="127">
        <f t="shared" si="2"/>
        <v>0.80010912915393773</v>
      </c>
    </row>
    <row r="113" spans="1:10" ht="26.25" customHeight="1" x14ac:dyDescent="0.4">
      <c r="A113" s="30" t="s">
        <v>92</v>
      </c>
      <c r="B113" s="31">
        <v>1</v>
      </c>
      <c r="C113" s="122">
        <v>4</v>
      </c>
      <c r="D113" s="123">
        <v>47769682</v>
      </c>
      <c r="E113" s="126">
        <f t="shared" si="1"/>
        <v>239.23268363713191</v>
      </c>
      <c r="F113" s="127">
        <f t="shared" si="2"/>
        <v>0.79744227879043972</v>
      </c>
    </row>
    <row r="114" spans="1:10" ht="26.25" customHeight="1" x14ac:dyDescent="0.4">
      <c r="A114" s="30" t="s">
        <v>93</v>
      </c>
      <c r="B114" s="31">
        <v>1</v>
      </c>
      <c r="C114" s="122">
        <v>5</v>
      </c>
      <c r="D114" s="123">
        <v>47704594</v>
      </c>
      <c r="E114" s="126">
        <f t="shared" si="1"/>
        <v>238.90672004975499</v>
      </c>
      <c r="F114" s="127">
        <f t="shared" si="2"/>
        <v>0.79635573349918332</v>
      </c>
    </row>
    <row r="115" spans="1:10" ht="26.25" customHeight="1" x14ac:dyDescent="0.4">
      <c r="A115" s="30" t="s">
        <v>95</v>
      </c>
      <c r="B115" s="31">
        <v>1</v>
      </c>
      <c r="C115" s="128">
        <v>6</v>
      </c>
      <c r="D115" s="129">
        <v>47657899</v>
      </c>
      <c r="E115" s="130">
        <f t="shared" si="1"/>
        <v>238.6728694211819</v>
      </c>
      <c r="F115" s="131">
        <f t="shared" si="2"/>
        <v>0.79557623140393963</v>
      </c>
    </row>
    <row r="116" spans="1:10" ht="26.25" customHeight="1" x14ac:dyDescent="0.4">
      <c r="A116" s="30" t="s">
        <v>96</v>
      </c>
      <c r="B116" s="31">
        <v>1</v>
      </c>
      <c r="C116" s="122"/>
      <c r="D116" s="58"/>
      <c r="E116" s="9"/>
      <c r="F116" s="132"/>
    </row>
    <row r="117" spans="1:10" ht="26.25" customHeight="1" x14ac:dyDescent="0.4">
      <c r="A117" s="30" t="s">
        <v>97</v>
      </c>
      <c r="B117" s="31">
        <v>1</v>
      </c>
      <c r="C117" s="122"/>
      <c r="D117" s="133"/>
      <c r="E117" s="134" t="s">
        <v>65</v>
      </c>
      <c r="F117" s="135">
        <f>AVERAGE(F110:F115)</f>
        <v>0.79737299249755367</v>
      </c>
    </row>
    <row r="118" spans="1:10" ht="19.5" customHeight="1" thickBot="1" x14ac:dyDescent="0.35">
      <c r="A118" s="30" t="s">
        <v>98</v>
      </c>
      <c r="B118" s="95">
        <f>(B117/B116)*(B115/B114)*(B113/B112)*(B111/B110)*B109</f>
        <v>1000</v>
      </c>
      <c r="C118" s="136"/>
      <c r="D118" s="137"/>
      <c r="E118" s="16" t="s">
        <v>78</v>
      </c>
      <c r="F118" s="138">
        <f>STDEV(F110:F115)/F117</f>
        <v>1.9295403979193225E-3</v>
      </c>
      <c r="I118" s="9"/>
    </row>
    <row r="119" spans="1:10" ht="19.5" customHeight="1" thickBot="1" x14ac:dyDescent="0.35">
      <c r="A119" s="575" t="s">
        <v>72</v>
      </c>
      <c r="B119" s="585"/>
      <c r="C119" s="139"/>
      <c r="D119" s="140"/>
      <c r="E119" s="141" t="s">
        <v>15</v>
      </c>
      <c r="F119" s="118">
        <f>COUNT(F110:F115)</f>
        <v>6</v>
      </c>
      <c r="I119" s="9"/>
      <c r="J119" s="116"/>
    </row>
    <row r="120" spans="1:10" ht="19.5" customHeight="1" thickBot="1" x14ac:dyDescent="0.35">
      <c r="A120" s="577"/>
      <c r="B120" s="586"/>
      <c r="C120" s="9"/>
      <c r="D120" s="9"/>
      <c r="E120" s="9"/>
      <c r="F120" s="58"/>
      <c r="G120" s="9"/>
      <c r="H120" s="9"/>
      <c r="I120" s="9"/>
    </row>
    <row r="121" spans="1:10" ht="18.75" x14ac:dyDescent="0.3">
      <c r="A121" s="26"/>
      <c r="B121" s="26"/>
      <c r="C121" s="9"/>
      <c r="D121" s="9"/>
      <c r="E121" s="9"/>
      <c r="F121" s="58"/>
      <c r="G121" s="9"/>
      <c r="H121" s="9"/>
      <c r="I121" s="9"/>
    </row>
    <row r="122" spans="1:10" ht="18.75" x14ac:dyDescent="0.3">
      <c r="A122" s="13" t="s">
        <v>101</v>
      </c>
      <c r="B122" s="16" t="s">
        <v>102</v>
      </c>
      <c r="C122" s="592" t="str">
        <f>B20</f>
        <v>ATAZANAVIR</v>
      </c>
      <c r="D122" s="592"/>
      <c r="E122" s="9" t="s">
        <v>110</v>
      </c>
      <c r="F122" s="9"/>
      <c r="G122" s="103">
        <f>F117</f>
        <v>0.79737299249755367</v>
      </c>
      <c r="H122" s="9"/>
      <c r="I122" s="9"/>
    </row>
    <row r="123" spans="1:10" ht="18.75" x14ac:dyDescent="0.3">
      <c r="A123" s="26"/>
      <c r="B123" s="26"/>
      <c r="C123" s="9"/>
      <c r="D123" s="9"/>
      <c r="E123" s="9"/>
      <c r="F123" s="58"/>
      <c r="G123" s="9"/>
      <c r="H123" s="9"/>
      <c r="I123" s="9"/>
    </row>
    <row r="124" spans="1:10" ht="26.25" customHeight="1" x14ac:dyDescent="0.4">
      <c r="A124" s="12" t="s">
        <v>104</v>
      </c>
      <c r="B124" s="12" t="s">
        <v>105</v>
      </c>
      <c r="D124" s="104">
        <v>90</v>
      </c>
    </row>
    <row r="125" spans="1:10" ht="19.5" customHeight="1" thickBot="1" x14ac:dyDescent="0.35">
      <c r="A125" s="5"/>
      <c r="B125" s="5"/>
      <c r="C125" s="5"/>
      <c r="D125" s="5"/>
      <c r="E125" s="5"/>
    </row>
    <row r="126" spans="1:10" ht="26.25" customHeight="1" x14ac:dyDescent="0.4">
      <c r="A126" s="28" t="s">
        <v>106</v>
      </c>
      <c r="B126" s="29">
        <v>1000</v>
      </c>
      <c r="C126" s="105" t="s">
        <v>107</v>
      </c>
      <c r="D126" s="119" t="s">
        <v>58</v>
      </c>
      <c r="E126" s="120" t="s">
        <v>108</v>
      </c>
      <c r="F126" s="121" t="s">
        <v>109</v>
      </c>
    </row>
    <row r="127" spans="1:10" ht="26.25" customHeight="1" x14ac:dyDescent="0.4">
      <c r="A127" s="30" t="s">
        <v>88</v>
      </c>
      <c r="B127" s="31">
        <v>1</v>
      </c>
      <c r="C127" s="122">
        <v>1</v>
      </c>
      <c r="D127" s="123">
        <v>60882560</v>
      </c>
      <c r="E127" s="142">
        <f t="shared" ref="E127:E132" si="3">IF(ISBLANK(D127),"-",D127/$D$105*$D$102*$B$135)</f>
        <v>304.90255755729544</v>
      </c>
      <c r="F127" s="143">
        <f t="shared" ref="F127:F132" si="4">IF(ISBLANK(D127), "-", E127/$B$56)</f>
        <v>1.016341858524318</v>
      </c>
    </row>
    <row r="128" spans="1:10" ht="26.25" customHeight="1" x14ac:dyDescent="0.4">
      <c r="A128" s="30" t="s">
        <v>90</v>
      </c>
      <c r="B128" s="31">
        <v>1</v>
      </c>
      <c r="C128" s="122">
        <v>2</v>
      </c>
      <c r="D128" s="123">
        <v>60534490</v>
      </c>
      <c r="E128" s="144">
        <f t="shared" si="3"/>
        <v>303.15940757790946</v>
      </c>
      <c r="F128" s="145">
        <f t="shared" si="4"/>
        <v>1.0105313585930316</v>
      </c>
    </row>
    <row r="129" spans="1:10" ht="26.25" customHeight="1" x14ac:dyDescent="0.4">
      <c r="A129" s="30" t="s">
        <v>91</v>
      </c>
      <c r="B129" s="31">
        <v>1</v>
      </c>
      <c r="C129" s="122">
        <v>3</v>
      </c>
      <c r="D129" s="123">
        <v>60857225</v>
      </c>
      <c r="E129" s="144">
        <f t="shared" si="3"/>
        <v>304.77567875496328</v>
      </c>
      <c r="F129" s="145">
        <f t="shared" si="4"/>
        <v>1.0159189291832109</v>
      </c>
    </row>
    <row r="130" spans="1:10" ht="26.25" customHeight="1" x14ac:dyDescent="0.4">
      <c r="A130" s="30" t="s">
        <v>92</v>
      </c>
      <c r="B130" s="31">
        <v>1</v>
      </c>
      <c r="C130" s="122">
        <v>4</v>
      </c>
      <c r="D130" s="123">
        <v>60691468</v>
      </c>
      <c r="E130" s="144">
        <f t="shared" si="3"/>
        <v>303.94556035598305</v>
      </c>
      <c r="F130" s="145">
        <f t="shared" si="4"/>
        <v>1.0131518678532769</v>
      </c>
    </row>
    <row r="131" spans="1:10" ht="26.25" customHeight="1" x14ac:dyDescent="0.4">
      <c r="A131" s="30" t="s">
        <v>93</v>
      </c>
      <c r="B131" s="31">
        <v>1</v>
      </c>
      <c r="C131" s="122">
        <v>5</v>
      </c>
      <c r="D131" s="123">
        <v>60864945</v>
      </c>
      <c r="E131" s="144">
        <f t="shared" si="3"/>
        <v>304.81434085695673</v>
      </c>
      <c r="F131" s="145">
        <f t="shared" si="4"/>
        <v>1.0160478028565225</v>
      </c>
    </row>
    <row r="132" spans="1:10" ht="26.25" customHeight="1" x14ac:dyDescent="0.4">
      <c r="A132" s="30" t="s">
        <v>95</v>
      </c>
      <c r="B132" s="31">
        <v>1</v>
      </c>
      <c r="C132" s="128">
        <v>6</v>
      </c>
      <c r="D132" s="129">
        <v>60633450</v>
      </c>
      <c r="E132" s="146">
        <f t="shared" si="3"/>
        <v>303.65500364180474</v>
      </c>
      <c r="F132" s="147">
        <f t="shared" si="4"/>
        <v>1.0121833454726825</v>
      </c>
    </row>
    <row r="133" spans="1:10" ht="26.25" customHeight="1" x14ac:dyDescent="0.4">
      <c r="A133" s="30" t="s">
        <v>96</v>
      </c>
      <c r="B133" s="31">
        <v>1</v>
      </c>
      <c r="C133" s="122"/>
      <c r="D133" s="58"/>
      <c r="E133" s="9"/>
      <c r="F133" s="132"/>
    </row>
    <row r="134" spans="1:10" ht="26.25" customHeight="1" x14ac:dyDescent="0.4">
      <c r="A134" s="30" t="s">
        <v>97</v>
      </c>
      <c r="B134" s="31">
        <v>1</v>
      </c>
      <c r="C134" s="122"/>
      <c r="D134" s="133"/>
      <c r="E134" s="134" t="s">
        <v>65</v>
      </c>
      <c r="F134" s="148">
        <f>AVERAGE(F127:F132)</f>
        <v>1.0140291937471739</v>
      </c>
    </row>
    <row r="135" spans="1:10" ht="27" customHeight="1" thickBot="1" x14ac:dyDescent="0.45">
      <c r="A135" s="30" t="s">
        <v>98</v>
      </c>
      <c r="B135" s="31">
        <f>(B134/B133)*(B132/B131)*(B130/B129)*(B128/B127)*B126</f>
        <v>1000</v>
      </c>
      <c r="C135" s="136"/>
      <c r="D135" s="137"/>
      <c r="E135" s="16" t="s">
        <v>78</v>
      </c>
      <c r="F135" s="149">
        <f>STDEV(F127:F132)/F134</f>
        <v>2.3915671441612323E-3</v>
      </c>
      <c r="I135" s="9"/>
    </row>
    <row r="136" spans="1:10" ht="27" customHeight="1" thickBot="1" x14ac:dyDescent="0.45">
      <c r="A136" s="575" t="s">
        <v>72</v>
      </c>
      <c r="B136" s="585"/>
      <c r="C136" s="139"/>
      <c r="D136" s="140"/>
      <c r="E136" s="141" t="s">
        <v>15</v>
      </c>
      <c r="F136" s="150">
        <f>COUNT(F127:F132)</f>
        <v>6</v>
      </c>
      <c r="I136" s="9"/>
      <c r="J136" s="116"/>
    </row>
    <row r="137" spans="1:10" ht="19.5" customHeight="1" thickBot="1" x14ac:dyDescent="0.35">
      <c r="A137" s="577"/>
      <c r="B137" s="586"/>
      <c r="C137" s="9"/>
      <c r="D137" s="9"/>
      <c r="E137" s="9"/>
      <c r="F137" s="58"/>
      <c r="G137" s="9"/>
      <c r="H137" s="9"/>
      <c r="I137" s="9"/>
    </row>
    <row r="138" spans="1:10" ht="18.75" x14ac:dyDescent="0.3">
      <c r="A138" s="26"/>
      <c r="B138" s="26"/>
      <c r="C138" s="9"/>
      <c r="D138" s="9"/>
      <c r="E138" s="9"/>
      <c r="F138" s="58"/>
      <c r="G138" s="9"/>
      <c r="H138" s="9"/>
      <c r="I138" s="9"/>
    </row>
    <row r="139" spans="1:10" ht="26.25" customHeight="1" x14ac:dyDescent="0.4">
      <c r="A139" s="13" t="s">
        <v>101</v>
      </c>
      <c r="B139" s="16" t="s">
        <v>102</v>
      </c>
      <c r="C139" s="592" t="str">
        <f>B20</f>
        <v>ATAZANAVIR</v>
      </c>
      <c r="D139" s="592"/>
      <c r="E139" s="9" t="s">
        <v>110</v>
      </c>
      <c r="F139" s="9"/>
      <c r="G139" s="151">
        <f>F134</f>
        <v>1.0140291937471739</v>
      </c>
      <c r="H139" s="9"/>
      <c r="I139" s="9"/>
    </row>
    <row r="140" spans="1:10" ht="18.75" x14ac:dyDescent="0.3">
      <c r="A140" s="13"/>
      <c r="B140" s="16"/>
      <c r="C140" s="19"/>
      <c r="D140" s="19"/>
      <c r="E140" s="9"/>
      <c r="F140" s="9"/>
      <c r="G140" s="103"/>
      <c r="H140" s="9"/>
      <c r="I140" s="9"/>
    </row>
    <row r="141" spans="1:10" ht="26.25" customHeight="1" x14ac:dyDescent="0.4">
      <c r="A141" s="12" t="s">
        <v>104</v>
      </c>
      <c r="B141" s="12" t="s">
        <v>105</v>
      </c>
      <c r="D141" s="104"/>
      <c r="H141" s="9"/>
      <c r="I141" s="9"/>
    </row>
    <row r="142" spans="1:10" ht="19.5" customHeight="1" thickBot="1" x14ac:dyDescent="0.35">
      <c r="A142" s="5"/>
      <c r="B142" s="5"/>
      <c r="C142" s="5"/>
      <c r="D142" s="5"/>
      <c r="E142" s="5"/>
      <c r="H142" s="9"/>
      <c r="I142" s="9"/>
    </row>
    <row r="143" spans="1:10" ht="26.25" customHeight="1" x14ac:dyDescent="0.4">
      <c r="A143" s="28" t="s">
        <v>106</v>
      </c>
      <c r="B143" s="29"/>
      <c r="C143" s="105" t="s">
        <v>107</v>
      </c>
      <c r="D143" s="119" t="s">
        <v>58</v>
      </c>
      <c r="E143" s="120" t="s">
        <v>108</v>
      </c>
      <c r="F143" s="121" t="s">
        <v>109</v>
      </c>
      <c r="H143" s="9"/>
      <c r="I143" s="9"/>
    </row>
    <row r="144" spans="1:10" ht="26.25" customHeight="1" x14ac:dyDescent="0.4">
      <c r="A144" s="30" t="s">
        <v>88</v>
      </c>
      <c r="B144" s="31">
        <v>1</v>
      </c>
      <c r="C144" s="122">
        <v>1</v>
      </c>
      <c r="D144" s="123"/>
      <c r="E144" s="142" t="str">
        <f t="shared" ref="E144:E149" si="5">IF(ISBLANK(D144),"-",D144/$D$105*$D$102*$B$152)</f>
        <v>-</v>
      </c>
      <c r="F144" s="143" t="str">
        <f t="shared" ref="F144:F149" si="6">IF(ISBLANK(D144), "-", E144/$B$56)</f>
        <v>-</v>
      </c>
      <c r="H144" s="9"/>
      <c r="I144" s="9"/>
    </row>
    <row r="145" spans="1:9" ht="26.25" customHeight="1" x14ac:dyDescent="0.4">
      <c r="A145" s="30" t="s">
        <v>90</v>
      </c>
      <c r="B145" s="31">
        <v>1</v>
      </c>
      <c r="C145" s="122">
        <v>2</v>
      </c>
      <c r="D145" s="123"/>
      <c r="E145" s="144" t="str">
        <f t="shared" si="5"/>
        <v>-</v>
      </c>
      <c r="F145" s="145" t="str">
        <f t="shared" si="6"/>
        <v>-</v>
      </c>
      <c r="H145" s="9"/>
      <c r="I145" s="9"/>
    </row>
    <row r="146" spans="1:9" ht="26.25" customHeight="1" x14ac:dyDescent="0.4">
      <c r="A146" s="30" t="s">
        <v>91</v>
      </c>
      <c r="B146" s="31">
        <v>1</v>
      </c>
      <c r="C146" s="122">
        <v>3</v>
      </c>
      <c r="D146" s="123"/>
      <c r="E146" s="144" t="str">
        <f t="shared" si="5"/>
        <v>-</v>
      </c>
      <c r="F146" s="145" t="str">
        <f t="shared" si="6"/>
        <v>-</v>
      </c>
      <c r="H146" s="9"/>
      <c r="I146" s="9"/>
    </row>
    <row r="147" spans="1:9" ht="26.25" customHeight="1" x14ac:dyDescent="0.4">
      <c r="A147" s="30" t="s">
        <v>92</v>
      </c>
      <c r="B147" s="31">
        <v>1</v>
      </c>
      <c r="C147" s="122">
        <v>4</v>
      </c>
      <c r="D147" s="123"/>
      <c r="E147" s="144" t="str">
        <f t="shared" si="5"/>
        <v>-</v>
      </c>
      <c r="F147" s="145" t="str">
        <f t="shared" si="6"/>
        <v>-</v>
      </c>
      <c r="H147" s="9"/>
      <c r="I147" s="9"/>
    </row>
    <row r="148" spans="1:9" ht="26.25" customHeight="1" x14ac:dyDescent="0.4">
      <c r="A148" s="30" t="s">
        <v>93</v>
      </c>
      <c r="B148" s="31">
        <v>1</v>
      </c>
      <c r="C148" s="122">
        <v>5</v>
      </c>
      <c r="D148" s="123"/>
      <c r="E148" s="144" t="str">
        <f t="shared" si="5"/>
        <v>-</v>
      </c>
      <c r="F148" s="145" t="str">
        <f t="shared" si="6"/>
        <v>-</v>
      </c>
      <c r="H148" s="9"/>
      <c r="I148" s="9"/>
    </row>
    <row r="149" spans="1:9" ht="26.25" customHeight="1" x14ac:dyDescent="0.4">
      <c r="A149" s="30" t="s">
        <v>95</v>
      </c>
      <c r="B149" s="31">
        <v>1</v>
      </c>
      <c r="C149" s="128">
        <v>6</v>
      </c>
      <c r="D149" s="129"/>
      <c r="E149" s="146" t="str">
        <f t="shared" si="5"/>
        <v>-</v>
      </c>
      <c r="F149" s="147" t="str">
        <f t="shared" si="6"/>
        <v>-</v>
      </c>
      <c r="H149" s="9"/>
      <c r="I149" s="9"/>
    </row>
    <row r="150" spans="1:9" ht="26.25" customHeight="1" x14ac:dyDescent="0.4">
      <c r="A150" s="30" t="s">
        <v>96</v>
      </c>
      <c r="B150" s="31">
        <v>1</v>
      </c>
      <c r="C150" s="122"/>
      <c r="D150" s="58"/>
      <c r="E150" s="9"/>
      <c r="F150" s="132"/>
      <c r="H150" s="9"/>
      <c r="I150" s="9"/>
    </row>
    <row r="151" spans="1:9" ht="26.25" customHeight="1" x14ac:dyDescent="0.4">
      <c r="A151" s="30" t="s">
        <v>97</v>
      </c>
      <c r="B151" s="31">
        <v>1</v>
      </c>
      <c r="C151" s="122"/>
      <c r="D151" s="133"/>
      <c r="E151" s="134" t="s">
        <v>65</v>
      </c>
      <c r="F151" s="148" t="e">
        <f>AVERAGE(F144:F149)</f>
        <v>#DIV/0!</v>
      </c>
      <c r="H151" s="9"/>
      <c r="I151" s="9"/>
    </row>
    <row r="152" spans="1:9" ht="27" customHeight="1" thickBot="1" x14ac:dyDescent="0.45">
      <c r="A152" s="30" t="s">
        <v>98</v>
      </c>
      <c r="B152" s="31">
        <f>(B151/B150)*(B149/B148)*(B147/B146)*(B145/B144)*B143</f>
        <v>0</v>
      </c>
      <c r="C152" s="136"/>
      <c r="D152" s="137"/>
      <c r="E152" s="16" t="s">
        <v>78</v>
      </c>
      <c r="F152" s="149" t="e">
        <f>STDEV(F144:F149)/F151</f>
        <v>#DIV/0!</v>
      </c>
      <c r="H152" s="9"/>
      <c r="I152" s="9"/>
    </row>
    <row r="153" spans="1:9" ht="27" customHeight="1" thickBot="1" x14ac:dyDescent="0.45">
      <c r="A153" s="575" t="s">
        <v>72</v>
      </c>
      <c r="B153" s="585"/>
      <c r="C153" s="139"/>
      <c r="D153" s="140"/>
      <c r="E153" s="141" t="s">
        <v>15</v>
      </c>
      <c r="F153" s="150">
        <f>COUNT(F144:F149)</f>
        <v>0</v>
      </c>
      <c r="H153" s="9"/>
      <c r="I153" s="9"/>
    </row>
    <row r="154" spans="1:9" ht="19.5" customHeight="1" thickBot="1" x14ac:dyDescent="0.35">
      <c r="A154" s="577"/>
      <c r="B154" s="586"/>
      <c r="C154" s="9"/>
      <c r="D154" s="9"/>
      <c r="E154" s="9"/>
      <c r="F154" s="58"/>
      <c r="G154" s="9"/>
      <c r="H154" s="9"/>
      <c r="I154" s="9"/>
    </row>
    <row r="155" spans="1:9" ht="18.75" x14ac:dyDescent="0.3">
      <c r="A155" s="26"/>
      <c r="B155" s="26"/>
      <c r="C155" s="9"/>
      <c r="D155" s="9"/>
      <c r="E155" s="9"/>
      <c r="F155" s="58"/>
      <c r="G155" s="9"/>
      <c r="H155" s="9"/>
      <c r="I155" s="9"/>
    </row>
    <row r="156" spans="1:9" ht="26.25" customHeight="1" x14ac:dyDescent="0.4">
      <c r="A156" s="13" t="s">
        <v>101</v>
      </c>
      <c r="B156" s="16" t="s">
        <v>102</v>
      </c>
      <c r="C156" s="592" t="str">
        <f>B20</f>
        <v>ATAZANAVIR</v>
      </c>
      <c r="D156" s="592"/>
      <c r="E156" s="9" t="s">
        <v>110</v>
      </c>
      <c r="F156" s="9"/>
      <c r="G156" s="151" t="e">
        <f>F151</f>
        <v>#DIV/0!</v>
      </c>
      <c r="H156" s="9"/>
      <c r="I156" s="9"/>
    </row>
    <row r="157" spans="1:9" ht="18.75" x14ac:dyDescent="0.3">
      <c r="A157" s="13"/>
      <c r="B157" s="16"/>
      <c r="C157" s="19"/>
      <c r="D157" s="19"/>
      <c r="E157" s="9"/>
      <c r="F157" s="9"/>
      <c r="G157" s="103"/>
      <c r="H157" s="9"/>
      <c r="I157" s="9"/>
    </row>
    <row r="158" spans="1:9" ht="26.25" customHeight="1" x14ac:dyDescent="0.4">
      <c r="A158" s="12" t="s">
        <v>104</v>
      </c>
      <c r="B158" s="12" t="s">
        <v>105</v>
      </c>
      <c r="D158" s="104"/>
      <c r="H158" s="9"/>
      <c r="I158" s="9"/>
    </row>
    <row r="159" spans="1:9" ht="19.5" customHeight="1" thickBot="1" x14ac:dyDescent="0.35">
      <c r="A159" s="5"/>
      <c r="B159" s="5"/>
      <c r="C159" s="5"/>
      <c r="D159" s="5"/>
      <c r="E159" s="5"/>
      <c r="H159" s="9"/>
      <c r="I159" s="9"/>
    </row>
    <row r="160" spans="1:9" ht="26.25" customHeight="1" x14ac:dyDescent="0.4">
      <c r="A160" s="28" t="s">
        <v>106</v>
      </c>
      <c r="B160" s="29"/>
      <c r="C160" s="105" t="s">
        <v>107</v>
      </c>
      <c r="D160" s="119" t="s">
        <v>58</v>
      </c>
      <c r="E160" s="120" t="s">
        <v>108</v>
      </c>
      <c r="F160" s="121" t="s">
        <v>109</v>
      </c>
      <c r="H160" s="9"/>
      <c r="I160" s="9"/>
    </row>
    <row r="161" spans="1:9" ht="26.25" customHeight="1" x14ac:dyDescent="0.4">
      <c r="A161" s="30" t="s">
        <v>88</v>
      </c>
      <c r="B161" s="31"/>
      <c r="C161" s="122">
        <v>1</v>
      </c>
      <c r="D161" s="123"/>
      <c r="E161" s="142" t="str">
        <f t="shared" ref="E161:E166" si="7">IF(ISBLANK(D161),"-",D161/$D$105*$D$102*$B$169)</f>
        <v>-</v>
      </c>
      <c r="F161" s="143" t="str">
        <f t="shared" ref="F161:F166" si="8">IF(ISBLANK(D161), "-", E161/$B$56)</f>
        <v>-</v>
      </c>
      <c r="H161" s="9"/>
      <c r="I161" s="9"/>
    </row>
    <row r="162" spans="1:9" ht="26.25" customHeight="1" x14ac:dyDescent="0.4">
      <c r="A162" s="30" t="s">
        <v>90</v>
      </c>
      <c r="B162" s="31"/>
      <c r="C162" s="122">
        <v>2</v>
      </c>
      <c r="D162" s="123"/>
      <c r="E162" s="144" t="str">
        <f t="shared" si="7"/>
        <v>-</v>
      </c>
      <c r="F162" s="145" t="str">
        <f t="shared" si="8"/>
        <v>-</v>
      </c>
      <c r="H162" s="9"/>
      <c r="I162" s="9"/>
    </row>
    <row r="163" spans="1:9" ht="26.25" customHeight="1" x14ac:dyDescent="0.4">
      <c r="A163" s="30" t="s">
        <v>91</v>
      </c>
      <c r="B163" s="31"/>
      <c r="C163" s="122">
        <v>3</v>
      </c>
      <c r="D163" s="123"/>
      <c r="E163" s="144" t="str">
        <f t="shared" si="7"/>
        <v>-</v>
      </c>
      <c r="F163" s="145" t="str">
        <f t="shared" si="8"/>
        <v>-</v>
      </c>
      <c r="H163" s="9"/>
      <c r="I163" s="9"/>
    </row>
    <row r="164" spans="1:9" ht="26.25" customHeight="1" x14ac:dyDescent="0.4">
      <c r="A164" s="30" t="s">
        <v>92</v>
      </c>
      <c r="B164" s="31"/>
      <c r="C164" s="122">
        <v>4</v>
      </c>
      <c r="D164" s="123"/>
      <c r="E164" s="144" t="str">
        <f t="shared" si="7"/>
        <v>-</v>
      </c>
      <c r="F164" s="145" t="str">
        <f t="shared" si="8"/>
        <v>-</v>
      </c>
      <c r="H164" s="9"/>
      <c r="I164" s="9"/>
    </row>
    <row r="165" spans="1:9" ht="26.25" customHeight="1" x14ac:dyDescent="0.4">
      <c r="A165" s="30" t="s">
        <v>93</v>
      </c>
      <c r="B165" s="31"/>
      <c r="C165" s="122">
        <v>5</v>
      </c>
      <c r="D165" s="123"/>
      <c r="E165" s="144" t="str">
        <f t="shared" si="7"/>
        <v>-</v>
      </c>
      <c r="F165" s="145" t="str">
        <f t="shared" si="8"/>
        <v>-</v>
      </c>
      <c r="H165" s="9"/>
      <c r="I165" s="9"/>
    </row>
    <row r="166" spans="1:9" ht="26.25" customHeight="1" x14ac:dyDescent="0.4">
      <c r="A166" s="30" t="s">
        <v>95</v>
      </c>
      <c r="B166" s="31"/>
      <c r="C166" s="128">
        <v>6</v>
      </c>
      <c r="D166" s="129"/>
      <c r="E166" s="146" t="str">
        <f t="shared" si="7"/>
        <v>-</v>
      </c>
      <c r="F166" s="147" t="str">
        <f t="shared" si="8"/>
        <v>-</v>
      </c>
      <c r="H166" s="9"/>
      <c r="I166" s="9"/>
    </row>
    <row r="167" spans="1:9" ht="26.25" customHeight="1" x14ac:dyDescent="0.4">
      <c r="A167" s="30" t="s">
        <v>96</v>
      </c>
      <c r="B167" s="31"/>
      <c r="C167" s="122"/>
      <c r="D167" s="58"/>
      <c r="E167" s="9"/>
      <c r="F167" s="132"/>
      <c r="H167" s="9"/>
      <c r="I167" s="9"/>
    </row>
    <row r="168" spans="1:9" ht="26.25" customHeight="1" x14ac:dyDescent="0.4">
      <c r="A168" s="30" t="s">
        <v>97</v>
      </c>
      <c r="B168" s="31"/>
      <c r="C168" s="122"/>
      <c r="D168" s="133"/>
      <c r="E168" s="134" t="s">
        <v>65</v>
      </c>
      <c r="F168" s="148" t="e">
        <f>AVERAGE(F161:F166)</f>
        <v>#DIV/0!</v>
      </c>
      <c r="H168" s="9"/>
      <c r="I168" s="9"/>
    </row>
    <row r="169" spans="1:9" ht="27" customHeight="1" thickBot="1" x14ac:dyDescent="0.45">
      <c r="A169" s="30" t="s">
        <v>98</v>
      </c>
      <c r="B169" s="31"/>
      <c r="C169" s="136"/>
      <c r="D169" s="137"/>
      <c r="E169" s="16" t="s">
        <v>78</v>
      </c>
      <c r="F169" s="149" t="e">
        <f>STDEV(F161:F166)/F168</f>
        <v>#DIV/0!</v>
      </c>
      <c r="H169" s="9"/>
      <c r="I169" s="9"/>
    </row>
    <row r="170" spans="1:9" ht="27" customHeight="1" thickBot="1" x14ac:dyDescent="0.45">
      <c r="A170" s="575" t="s">
        <v>72</v>
      </c>
      <c r="B170" s="585"/>
      <c r="C170" s="139"/>
      <c r="D170" s="140"/>
      <c r="E170" s="141" t="s">
        <v>15</v>
      </c>
      <c r="F170" s="150">
        <f>COUNT(F161:F166)</f>
        <v>0</v>
      </c>
      <c r="H170" s="9"/>
      <c r="I170" s="9"/>
    </row>
    <row r="171" spans="1:9" ht="19.5" customHeight="1" thickBot="1" x14ac:dyDescent="0.35">
      <c r="A171" s="577"/>
      <c r="B171" s="586"/>
      <c r="C171" s="9"/>
      <c r="D171" s="9"/>
      <c r="E171" s="9"/>
      <c r="F171" s="58"/>
      <c r="G171" s="9"/>
      <c r="H171" s="9"/>
      <c r="I171" s="9"/>
    </row>
    <row r="172" spans="1:9" ht="18.75" x14ac:dyDescent="0.3">
      <c r="A172" s="26"/>
      <c r="B172" s="26"/>
      <c r="C172" s="9"/>
      <c r="D172" s="9"/>
      <c r="E172" s="9"/>
      <c r="F172" s="58"/>
      <c r="G172" s="9"/>
      <c r="H172" s="9"/>
      <c r="I172" s="9"/>
    </row>
    <row r="173" spans="1:9" ht="26.25" customHeight="1" x14ac:dyDescent="0.4">
      <c r="A173" s="13" t="s">
        <v>101</v>
      </c>
      <c r="B173" s="16" t="s">
        <v>102</v>
      </c>
      <c r="C173" s="592" t="str">
        <f>B20</f>
        <v>ATAZANAVIR</v>
      </c>
      <c r="D173" s="592"/>
      <c r="E173" s="9" t="s">
        <v>110</v>
      </c>
      <c r="F173" s="9"/>
      <c r="G173" s="151" t="e">
        <f>F168</f>
        <v>#DIV/0!</v>
      </c>
      <c r="H173" s="9"/>
      <c r="I173" s="9"/>
    </row>
    <row r="174" spans="1:9" ht="18.75" x14ac:dyDescent="0.3">
      <c r="A174" s="13"/>
      <c r="B174" s="16"/>
      <c r="C174" s="19"/>
      <c r="D174" s="19"/>
      <c r="E174" s="9"/>
      <c r="F174" s="9"/>
      <c r="G174" s="103"/>
      <c r="H174" s="9"/>
      <c r="I174" s="9"/>
    </row>
    <row r="175" spans="1:9" ht="19.5" customHeight="1" thickBot="1" x14ac:dyDescent="0.35">
      <c r="A175" s="152"/>
      <c r="B175" s="152"/>
      <c r="C175" s="153"/>
      <c r="D175" s="153"/>
      <c r="E175" s="153"/>
      <c r="F175" s="153"/>
      <c r="G175" s="153"/>
      <c r="H175" s="153"/>
    </row>
    <row r="176" spans="1:9" ht="18.75" x14ac:dyDescent="0.3">
      <c r="B176" s="593" t="s">
        <v>21</v>
      </c>
      <c r="C176" s="593"/>
      <c r="E176" s="107" t="s">
        <v>22</v>
      </c>
      <c r="F176" s="154"/>
      <c r="G176" s="593" t="s">
        <v>23</v>
      </c>
      <c r="H176" s="593"/>
    </row>
    <row r="177" spans="1:9" ht="83.1" customHeight="1" x14ac:dyDescent="0.3">
      <c r="A177" s="13" t="s">
        <v>24</v>
      </c>
      <c r="B177" s="155" t="s">
        <v>121</v>
      </c>
      <c r="C177" s="155"/>
      <c r="E177" s="156"/>
      <c r="F177" s="9"/>
      <c r="G177" s="156"/>
      <c r="H177" s="156"/>
    </row>
    <row r="178" spans="1:9" ht="83.1" customHeight="1" x14ac:dyDescent="0.3">
      <c r="A178" s="13" t="s">
        <v>25</v>
      </c>
      <c r="B178" s="157"/>
      <c r="C178" s="157"/>
      <c r="E178" s="158"/>
      <c r="F178" s="9"/>
      <c r="G178" s="159"/>
      <c r="H178" s="159"/>
    </row>
    <row r="179" spans="1:9" ht="18.75" x14ac:dyDescent="0.3">
      <c r="A179" s="58"/>
      <c r="B179" s="58"/>
      <c r="C179" s="58"/>
      <c r="D179" s="58"/>
      <c r="E179" s="58"/>
      <c r="F179" s="61"/>
      <c r="G179" s="58"/>
      <c r="H179" s="58"/>
      <c r="I179" s="9"/>
    </row>
    <row r="180" spans="1:9" ht="18.75" x14ac:dyDescent="0.3">
      <c r="A180" s="58"/>
      <c r="B180" s="58"/>
      <c r="C180" s="58"/>
      <c r="D180" s="58"/>
      <c r="E180" s="58"/>
      <c r="F180" s="61"/>
      <c r="G180" s="58"/>
      <c r="H180" s="58"/>
      <c r="I180" s="9"/>
    </row>
    <row r="181" spans="1:9" ht="18.75" x14ac:dyDescent="0.3">
      <c r="A181" s="58"/>
      <c r="B181" s="58"/>
      <c r="C181" s="58"/>
      <c r="D181" s="58"/>
      <c r="E181" s="58"/>
      <c r="F181" s="61"/>
      <c r="G181" s="58"/>
      <c r="H181" s="58"/>
      <c r="I181" s="9"/>
    </row>
    <row r="182" spans="1:9" ht="18.75" x14ac:dyDescent="0.3">
      <c r="A182" s="58"/>
      <c r="B182" s="58"/>
      <c r="C182" s="58"/>
      <c r="D182" s="58"/>
      <c r="E182" s="58"/>
      <c r="F182" s="61"/>
      <c r="G182" s="58"/>
      <c r="H182" s="58"/>
      <c r="I182" s="9"/>
    </row>
    <row r="183" spans="1:9" ht="18.75" x14ac:dyDescent="0.3">
      <c r="A183" s="58"/>
      <c r="B183" s="58"/>
      <c r="C183" s="58"/>
      <c r="D183" s="58"/>
      <c r="E183" s="58"/>
      <c r="F183" s="61"/>
      <c r="G183" s="58"/>
      <c r="H183" s="58"/>
      <c r="I183" s="9"/>
    </row>
    <row r="184" spans="1:9" ht="18.75" x14ac:dyDescent="0.3">
      <c r="A184" s="58"/>
      <c r="B184" s="58"/>
      <c r="C184" s="58"/>
      <c r="D184" s="58"/>
      <c r="E184" s="58"/>
      <c r="F184" s="61"/>
      <c r="G184" s="58"/>
      <c r="H184" s="58"/>
      <c r="I184" s="9"/>
    </row>
    <row r="185" spans="1:9" ht="18.75" x14ac:dyDescent="0.3">
      <c r="A185" s="58"/>
      <c r="B185" s="58"/>
      <c r="C185" s="58"/>
      <c r="D185" s="58"/>
      <c r="E185" s="58"/>
      <c r="F185" s="61"/>
      <c r="G185" s="58"/>
      <c r="H185" s="58"/>
      <c r="I185" s="9"/>
    </row>
    <row r="186" spans="1:9" ht="18.75" x14ac:dyDescent="0.3">
      <c r="A186" s="58"/>
      <c r="B186" s="58"/>
      <c r="C186" s="58"/>
      <c r="D186" s="58"/>
      <c r="E186" s="58"/>
      <c r="F186" s="61"/>
      <c r="G186" s="58"/>
      <c r="H186" s="58"/>
      <c r="I186" s="9"/>
    </row>
    <row r="187" spans="1:9" ht="18.75" x14ac:dyDescent="0.3">
      <c r="A187" s="58"/>
      <c r="B187" s="58"/>
      <c r="C187" s="58"/>
      <c r="D187" s="58"/>
      <c r="E187" s="58"/>
      <c r="F187" s="61"/>
      <c r="G187" s="58"/>
      <c r="H187" s="58"/>
      <c r="I187" s="9"/>
    </row>
    <row r="250" spans="1:1" x14ac:dyDescent="0.25">
      <c r="A250" s="1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6" zoomScale="48" zoomScaleNormal="75" zoomScaleSheetLayoutView="48" workbookViewId="0">
      <selection activeCell="D145" sqref="D145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41.140625" style="1" customWidth="1"/>
    <col min="9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  <col min="13" max="16384" width="9.140625" style="2"/>
  </cols>
  <sheetData>
    <row r="1" spans="1:8" x14ac:dyDescent="0.25">
      <c r="A1" s="563" t="s">
        <v>40</v>
      </c>
      <c r="B1" s="563"/>
      <c r="C1" s="563"/>
      <c r="D1" s="563"/>
      <c r="E1" s="563"/>
      <c r="F1" s="563"/>
      <c r="G1" s="563"/>
      <c r="H1" s="563"/>
    </row>
    <row r="2" spans="1:8" x14ac:dyDescent="0.25">
      <c r="A2" s="563"/>
      <c r="B2" s="563"/>
      <c r="C2" s="563"/>
      <c r="D2" s="563"/>
      <c r="E2" s="563"/>
      <c r="F2" s="563"/>
      <c r="G2" s="563"/>
      <c r="H2" s="563"/>
    </row>
    <row r="3" spans="1:8" x14ac:dyDescent="0.25">
      <c r="A3" s="563"/>
      <c r="B3" s="563"/>
      <c r="C3" s="563"/>
      <c r="D3" s="563"/>
      <c r="E3" s="563"/>
      <c r="F3" s="563"/>
      <c r="G3" s="563"/>
      <c r="H3" s="563"/>
    </row>
    <row r="4" spans="1:8" x14ac:dyDescent="0.25">
      <c r="A4" s="563"/>
      <c r="B4" s="563"/>
      <c r="C4" s="563"/>
      <c r="D4" s="563"/>
      <c r="E4" s="563"/>
      <c r="F4" s="563"/>
      <c r="G4" s="563"/>
      <c r="H4" s="563"/>
    </row>
    <row r="5" spans="1:8" x14ac:dyDescent="0.25">
      <c r="A5" s="563"/>
      <c r="B5" s="563"/>
      <c r="C5" s="563"/>
      <c r="D5" s="563"/>
      <c r="E5" s="563"/>
      <c r="F5" s="563"/>
      <c r="G5" s="563"/>
      <c r="H5" s="563"/>
    </row>
    <row r="6" spans="1:8" x14ac:dyDescent="0.25">
      <c r="A6" s="563"/>
      <c r="B6" s="563"/>
      <c r="C6" s="563"/>
      <c r="D6" s="563"/>
      <c r="E6" s="563"/>
      <c r="F6" s="563"/>
      <c r="G6" s="563"/>
      <c r="H6" s="563"/>
    </row>
    <row r="7" spans="1:8" x14ac:dyDescent="0.25">
      <c r="A7" s="563"/>
      <c r="B7" s="563"/>
      <c r="C7" s="563"/>
      <c r="D7" s="563"/>
      <c r="E7" s="563"/>
      <c r="F7" s="563"/>
      <c r="G7" s="563"/>
      <c r="H7" s="563"/>
    </row>
    <row r="8" spans="1:8" x14ac:dyDescent="0.25">
      <c r="A8" s="564" t="s">
        <v>41</v>
      </c>
      <c r="B8" s="564"/>
      <c r="C8" s="564"/>
      <c r="D8" s="564"/>
      <c r="E8" s="564"/>
      <c r="F8" s="564"/>
      <c r="G8" s="564"/>
      <c r="H8" s="564"/>
    </row>
    <row r="9" spans="1:8" x14ac:dyDescent="0.25">
      <c r="A9" s="564"/>
      <c r="B9" s="564"/>
      <c r="C9" s="564"/>
      <c r="D9" s="564"/>
      <c r="E9" s="564"/>
      <c r="F9" s="564"/>
      <c r="G9" s="564"/>
      <c r="H9" s="564"/>
    </row>
    <row r="10" spans="1:8" x14ac:dyDescent="0.25">
      <c r="A10" s="564"/>
      <c r="B10" s="564"/>
      <c r="C10" s="564"/>
      <c r="D10" s="564"/>
      <c r="E10" s="564"/>
      <c r="F10" s="564"/>
      <c r="G10" s="564"/>
      <c r="H10" s="564"/>
    </row>
    <row r="11" spans="1:8" x14ac:dyDescent="0.25">
      <c r="A11" s="564"/>
      <c r="B11" s="564"/>
      <c r="C11" s="564"/>
      <c r="D11" s="564"/>
      <c r="E11" s="564"/>
      <c r="F11" s="564"/>
      <c r="G11" s="564"/>
      <c r="H11" s="564"/>
    </row>
    <row r="12" spans="1:8" x14ac:dyDescent="0.25">
      <c r="A12" s="564"/>
      <c r="B12" s="564"/>
      <c r="C12" s="564"/>
      <c r="D12" s="564"/>
      <c r="E12" s="564"/>
      <c r="F12" s="564"/>
      <c r="G12" s="564"/>
      <c r="H12" s="564"/>
    </row>
    <row r="13" spans="1:8" x14ac:dyDescent="0.25">
      <c r="A13" s="564"/>
      <c r="B13" s="564"/>
      <c r="C13" s="564"/>
      <c r="D13" s="564"/>
      <c r="E13" s="564"/>
      <c r="F13" s="564"/>
      <c r="G13" s="564"/>
      <c r="H13" s="564"/>
    </row>
    <row r="14" spans="1:8" x14ac:dyDescent="0.25">
      <c r="A14" s="564"/>
      <c r="B14" s="564"/>
      <c r="C14" s="564"/>
      <c r="D14" s="564"/>
      <c r="E14" s="564"/>
      <c r="F14" s="564"/>
      <c r="G14" s="564"/>
      <c r="H14" s="564"/>
    </row>
    <row r="15" spans="1:8" ht="19.5" customHeight="1" thickBot="1" x14ac:dyDescent="0.3"/>
    <row r="16" spans="1:8" ht="19.5" customHeight="1" thickBot="1" x14ac:dyDescent="0.3">
      <c r="A16" s="565" t="s">
        <v>26</v>
      </c>
      <c r="B16" s="566"/>
      <c r="C16" s="566"/>
      <c r="D16" s="566"/>
      <c r="E16" s="566"/>
      <c r="F16" s="566"/>
      <c r="G16" s="566"/>
      <c r="H16" s="567"/>
    </row>
    <row r="17" spans="1:14" ht="18.75" x14ac:dyDescent="0.3">
      <c r="A17" s="5" t="s">
        <v>42</v>
      </c>
      <c r="B17" s="5"/>
    </row>
    <row r="18" spans="1:14" ht="18.75" x14ac:dyDescent="0.3">
      <c r="A18" s="6" t="s">
        <v>28</v>
      </c>
      <c r="B18" s="568" t="s">
        <v>112</v>
      </c>
      <c r="C18" s="568"/>
      <c r="D18" s="7"/>
      <c r="E18" s="7"/>
    </row>
    <row r="19" spans="1:14" ht="26.25" x14ac:dyDescent="0.4">
      <c r="A19" s="6" t="s">
        <v>29</v>
      </c>
      <c r="B19" s="302" t="s">
        <v>127</v>
      </c>
      <c r="C19" s="9">
        <v>24</v>
      </c>
    </row>
    <row r="20" spans="1:14" ht="18.75" x14ac:dyDescent="0.3">
      <c r="A20" s="6" t="s">
        <v>30</v>
      </c>
      <c r="B20" s="8" t="s">
        <v>130</v>
      </c>
    </row>
    <row r="21" spans="1:14" ht="18.75" x14ac:dyDescent="0.3">
      <c r="A21" s="6" t="s">
        <v>31</v>
      </c>
      <c r="B21" s="10" t="s">
        <v>115</v>
      </c>
      <c r="C21" s="10"/>
      <c r="D21" s="10"/>
      <c r="E21" s="10"/>
      <c r="F21" s="10"/>
      <c r="G21" s="10"/>
      <c r="H21" s="10"/>
      <c r="I21" s="10"/>
    </row>
    <row r="22" spans="1:14" ht="26.25" x14ac:dyDescent="0.4">
      <c r="A22" s="6" t="s">
        <v>32</v>
      </c>
      <c r="B22" s="303">
        <v>42783</v>
      </c>
    </row>
    <row r="23" spans="1:14" ht="26.25" x14ac:dyDescent="0.4">
      <c r="A23" s="6" t="s">
        <v>33</v>
      </c>
      <c r="B23" s="303">
        <v>42786</v>
      </c>
    </row>
    <row r="24" spans="1:14" ht="18.75" x14ac:dyDescent="0.3">
      <c r="A24" s="6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14" t="s">
        <v>117</v>
      </c>
      <c r="C26" s="15"/>
    </row>
    <row r="27" spans="1:14" ht="26.25" customHeight="1" x14ac:dyDescent="0.4">
      <c r="A27" s="16" t="s">
        <v>43</v>
      </c>
      <c r="B27" s="17" t="s">
        <v>118</v>
      </c>
    </row>
    <row r="28" spans="1:14" ht="27" customHeight="1" thickBot="1" x14ac:dyDescent="0.45">
      <c r="A28" s="16" t="s">
        <v>5</v>
      </c>
      <c r="B28" s="17">
        <v>99.4</v>
      </c>
    </row>
    <row r="29" spans="1:14" s="3" customFormat="1" ht="27" customHeight="1" thickBot="1" x14ac:dyDescent="0.45">
      <c r="A29" s="16" t="s">
        <v>44</v>
      </c>
      <c r="B29" s="17">
        <v>0</v>
      </c>
      <c r="C29" s="569" t="s">
        <v>45</v>
      </c>
      <c r="D29" s="570"/>
      <c r="E29" s="570"/>
      <c r="F29" s="570"/>
      <c r="G29" s="571"/>
      <c r="I29" s="18"/>
      <c r="J29" s="18"/>
      <c r="K29" s="18"/>
      <c r="L29" s="18"/>
    </row>
    <row r="30" spans="1:14" s="3" customFormat="1" ht="19.5" customHeight="1" thickBot="1" x14ac:dyDescent="0.35">
      <c r="A30" s="16" t="s">
        <v>46</v>
      </c>
      <c r="B30" s="19">
        <f>B28-B29</f>
        <v>99.4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 thickBot="1" x14ac:dyDescent="0.45">
      <c r="A31" s="16" t="s">
        <v>47</v>
      </c>
      <c r="B31" s="22">
        <v>1</v>
      </c>
      <c r="C31" s="560" t="s">
        <v>48</v>
      </c>
      <c r="D31" s="561"/>
      <c r="E31" s="561"/>
      <c r="F31" s="561"/>
      <c r="G31" s="561"/>
      <c r="H31" s="562"/>
      <c r="I31" s="18"/>
      <c r="J31" s="18"/>
      <c r="K31" s="18"/>
      <c r="L31" s="18"/>
    </row>
    <row r="32" spans="1:14" s="3" customFormat="1" ht="27" customHeight="1" thickBot="1" x14ac:dyDescent="0.45">
      <c r="A32" s="16" t="s">
        <v>49</v>
      </c>
      <c r="B32" s="22">
        <v>1</v>
      </c>
      <c r="C32" s="560" t="s">
        <v>50</v>
      </c>
      <c r="D32" s="561"/>
      <c r="E32" s="561"/>
      <c r="F32" s="561"/>
      <c r="G32" s="561"/>
      <c r="H32" s="562"/>
      <c r="I32" s="18"/>
      <c r="J32" s="18"/>
      <c r="K32" s="18"/>
      <c r="L32" s="23"/>
      <c r="M32" s="23"/>
      <c r="N32" s="24"/>
    </row>
    <row r="33" spans="1:14" s="3" customFormat="1" ht="17.25" customHeight="1" x14ac:dyDescent="0.3">
      <c r="A33" s="16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ht="18.75" x14ac:dyDescent="0.3">
      <c r="A34" s="16" t="s">
        <v>51</v>
      </c>
      <c r="B34" s="27">
        <f>B31/B32</f>
        <v>1</v>
      </c>
      <c r="C34" s="9" t="s">
        <v>52</v>
      </c>
      <c r="D34" s="9"/>
      <c r="E34" s="9"/>
      <c r="F34" s="9"/>
      <c r="G34" s="9"/>
      <c r="I34" s="18"/>
      <c r="J34" s="18"/>
      <c r="K34" s="18"/>
      <c r="L34" s="23"/>
      <c r="M34" s="23"/>
      <c r="N34" s="24"/>
    </row>
    <row r="35" spans="1:14" s="3" customFormat="1" ht="19.5" customHeight="1" thickBot="1" x14ac:dyDescent="0.35">
      <c r="A35" s="16"/>
      <c r="B35" s="19"/>
      <c r="G35" s="9"/>
      <c r="I35" s="18"/>
      <c r="J35" s="18"/>
      <c r="K35" s="18"/>
      <c r="L35" s="23"/>
      <c r="M35" s="23"/>
      <c r="N35" s="24"/>
    </row>
    <row r="36" spans="1:14" s="3" customFormat="1" ht="27" customHeight="1" thickBot="1" x14ac:dyDescent="0.45">
      <c r="A36" s="28" t="s">
        <v>53</v>
      </c>
      <c r="B36" s="29">
        <v>25</v>
      </c>
      <c r="C36" s="9"/>
      <c r="D36" s="572" t="s">
        <v>54</v>
      </c>
      <c r="E36" s="573"/>
      <c r="F36" s="572" t="s">
        <v>55</v>
      </c>
      <c r="G36" s="574"/>
      <c r="J36" s="18"/>
      <c r="K36" s="18"/>
      <c r="L36" s="23"/>
      <c r="M36" s="23"/>
      <c r="N36" s="24"/>
    </row>
    <row r="37" spans="1:14" s="3" customFormat="1" ht="15.75" customHeight="1" x14ac:dyDescent="0.4">
      <c r="A37" s="30" t="s">
        <v>56</v>
      </c>
      <c r="B37" s="31">
        <v>5</v>
      </c>
      <c r="C37" s="32" t="s">
        <v>57</v>
      </c>
      <c r="D37" s="33" t="s">
        <v>58</v>
      </c>
      <c r="E37" s="34" t="s">
        <v>59</v>
      </c>
      <c r="F37" s="33" t="s">
        <v>58</v>
      </c>
      <c r="G37" s="35" t="s">
        <v>59</v>
      </c>
      <c r="J37" s="18"/>
      <c r="K37" s="18"/>
      <c r="L37" s="23"/>
      <c r="M37" s="23"/>
      <c r="N37" s="24"/>
    </row>
    <row r="38" spans="1:14" s="3" customFormat="1" ht="26.25" customHeight="1" x14ac:dyDescent="0.4">
      <c r="A38" s="30" t="s">
        <v>60</v>
      </c>
      <c r="B38" s="31">
        <v>50</v>
      </c>
      <c r="C38" s="36">
        <v>1</v>
      </c>
      <c r="D38" s="37">
        <v>19651810</v>
      </c>
      <c r="E38" s="38">
        <f>IF(ISBLANK(D38),"-",$D$48/$D$45*D38)</f>
        <v>20221337.198630374</v>
      </c>
      <c r="F38" s="37">
        <v>20950147</v>
      </c>
      <c r="G38" s="39">
        <f>IF(ISBLANK(F38),"-",$D$48/$F$45*F38)</f>
        <v>20263294.312378228</v>
      </c>
      <c r="J38" s="18"/>
      <c r="K38" s="18"/>
      <c r="L38" s="23"/>
      <c r="M38" s="23"/>
      <c r="N38" s="24"/>
    </row>
    <row r="39" spans="1:14" s="3" customFormat="1" ht="26.25" customHeight="1" x14ac:dyDescent="0.4">
      <c r="A39" s="30" t="s">
        <v>61</v>
      </c>
      <c r="B39" s="31">
        <v>1</v>
      </c>
      <c r="C39" s="40">
        <v>2</v>
      </c>
      <c r="D39" s="41">
        <v>19776320</v>
      </c>
      <c r="E39" s="42">
        <f>IF(ISBLANK(D39),"-",$D$48/$D$45*D39)</f>
        <v>20349455.610858127</v>
      </c>
      <c r="F39" s="41">
        <v>21131222</v>
      </c>
      <c r="G39" s="43">
        <f>IF(ISBLANK(F39),"-",$D$48/$F$45*F39)</f>
        <v>20438432.750195101</v>
      </c>
      <c r="J39" s="18"/>
      <c r="K39" s="18"/>
      <c r="L39" s="23"/>
      <c r="M39" s="23"/>
      <c r="N39" s="24"/>
    </row>
    <row r="40" spans="1:14" ht="26.25" customHeight="1" x14ac:dyDescent="0.4">
      <c r="A40" s="30" t="s">
        <v>62</v>
      </c>
      <c r="B40" s="31">
        <v>1</v>
      </c>
      <c r="C40" s="40">
        <v>3</v>
      </c>
      <c r="D40" s="41">
        <v>19729521</v>
      </c>
      <c r="E40" s="42">
        <f>IF(ISBLANK(D40),"-",$D$48/$D$45*D40)</f>
        <v>20301300.333580427</v>
      </c>
      <c r="F40" s="41">
        <v>21175795</v>
      </c>
      <c r="G40" s="43">
        <f>IF(ISBLANK(F40),"-",$D$48/$F$45*F40)</f>
        <v>20481544.419883415</v>
      </c>
      <c r="L40" s="23"/>
      <c r="M40" s="23"/>
      <c r="N40" s="9"/>
    </row>
    <row r="41" spans="1:14" ht="26.25" customHeight="1" x14ac:dyDescent="0.4">
      <c r="A41" s="30" t="s">
        <v>63</v>
      </c>
      <c r="B41" s="31">
        <v>1</v>
      </c>
      <c r="C41" s="44">
        <v>4</v>
      </c>
      <c r="D41" s="45"/>
      <c r="E41" s="46" t="str">
        <f>IF(ISBLANK(D41),"-",$D$48/$D$45*D41)</f>
        <v>-</v>
      </c>
      <c r="F41" s="45"/>
      <c r="G41" s="47" t="str">
        <f>IF(ISBLANK(F41),"-",$D$48/$F$45*F41)</f>
        <v>-</v>
      </c>
      <c r="L41" s="23"/>
      <c r="M41" s="23"/>
      <c r="N41" s="9"/>
    </row>
    <row r="42" spans="1:14" ht="27" customHeight="1" thickBot="1" x14ac:dyDescent="0.45">
      <c r="A42" s="30" t="s">
        <v>64</v>
      </c>
      <c r="B42" s="31">
        <v>1</v>
      </c>
      <c r="C42" s="48" t="s">
        <v>65</v>
      </c>
      <c r="D42" s="49">
        <f>AVERAGE(D38:D41)</f>
        <v>19719217</v>
      </c>
      <c r="E42" s="50">
        <f>AVERAGE(E38:E41)</f>
        <v>20290697.714356311</v>
      </c>
      <c r="F42" s="51">
        <f>AVERAGE(F38:F41)</f>
        <v>21085721.333333332</v>
      </c>
      <c r="G42" s="52">
        <f>AVERAGE(G38:G41)</f>
        <v>20394423.82748558</v>
      </c>
      <c r="H42" s="4"/>
    </row>
    <row r="43" spans="1:14" ht="26.25" customHeight="1" x14ac:dyDescent="0.4">
      <c r="A43" s="30" t="s">
        <v>66</v>
      </c>
      <c r="B43" s="17">
        <v>1</v>
      </c>
      <c r="C43" s="53" t="s">
        <v>67</v>
      </c>
      <c r="D43" s="54">
        <v>14.25</v>
      </c>
      <c r="E43" s="9"/>
      <c r="F43" s="55">
        <v>15.16</v>
      </c>
      <c r="H43" s="4"/>
    </row>
    <row r="44" spans="1:14" ht="26.25" customHeight="1" x14ac:dyDescent="0.4">
      <c r="A44" s="30" t="s">
        <v>68</v>
      </c>
      <c r="B44" s="17">
        <v>1</v>
      </c>
      <c r="C44" s="56" t="s">
        <v>69</v>
      </c>
      <c r="D44" s="57">
        <f>D43*$B$34</f>
        <v>14.25</v>
      </c>
      <c r="E44" s="58"/>
      <c r="F44" s="59">
        <f>F43*$B$34</f>
        <v>15.16</v>
      </c>
      <c r="H44" s="4"/>
    </row>
    <row r="45" spans="1:14" ht="19.5" customHeight="1" thickBot="1" x14ac:dyDescent="0.35">
      <c r="A45" s="30" t="s">
        <v>70</v>
      </c>
      <c r="B45" s="19">
        <f>(B44/B43)*(B42/B41)*(B40/B39)*(B38/B37)*B36</f>
        <v>250</v>
      </c>
      <c r="C45" s="56" t="s">
        <v>71</v>
      </c>
      <c r="D45" s="60">
        <f>D44*$B$30/100</f>
        <v>14.1645</v>
      </c>
      <c r="E45" s="61"/>
      <c r="F45" s="62">
        <f>F44*$B$30/100</f>
        <v>15.069039999999999</v>
      </c>
      <c r="H45" s="4"/>
    </row>
    <row r="46" spans="1:14" ht="19.5" customHeight="1" thickBot="1" x14ac:dyDescent="0.35">
      <c r="A46" s="575" t="s">
        <v>72</v>
      </c>
      <c r="B46" s="576"/>
      <c r="C46" s="56" t="s">
        <v>73</v>
      </c>
      <c r="D46" s="57">
        <f>D45/$B$45</f>
        <v>5.6658E-2</v>
      </c>
      <c r="E46" s="61"/>
      <c r="F46" s="63">
        <f>F45/$B$45</f>
        <v>6.0276159999999995E-2</v>
      </c>
      <c r="H46" s="4"/>
    </row>
    <row r="47" spans="1:14" ht="27" customHeight="1" thickBot="1" x14ac:dyDescent="0.45">
      <c r="A47" s="577"/>
      <c r="B47" s="578"/>
      <c r="C47" s="56" t="s">
        <v>74</v>
      </c>
      <c r="D47" s="64">
        <v>5.8299999999999998E-2</v>
      </c>
      <c r="F47" s="65"/>
      <c r="H47" s="4"/>
    </row>
    <row r="48" spans="1:14" ht="18.75" x14ac:dyDescent="0.3">
      <c r="C48" s="56" t="s">
        <v>75</v>
      </c>
      <c r="D48" s="57">
        <f>D47*$B$45</f>
        <v>14.574999999999999</v>
      </c>
      <c r="F48" s="65"/>
      <c r="H48" s="4"/>
    </row>
    <row r="49" spans="1:12" ht="19.5" customHeight="1" thickBot="1" x14ac:dyDescent="0.35">
      <c r="C49" s="66" t="s">
        <v>76</v>
      </c>
      <c r="D49" s="67">
        <f>D48/B34</f>
        <v>14.574999999999999</v>
      </c>
      <c r="F49" s="68"/>
      <c r="H49" s="4"/>
    </row>
    <row r="50" spans="1:12" ht="18.75" x14ac:dyDescent="0.3">
      <c r="C50" s="69" t="s">
        <v>77</v>
      </c>
      <c r="D50" s="70">
        <f>AVERAGE(E38:E41,G38:G41)</f>
        <v>20342560.770920947</v>
      </c>
      <c r="F50" s="68"/>
      <c r="H50" s="4"/>
    </row>
    <row r="51" spans="1:12" ht="18.75" x14ac:dyDescent="0.3">
      <c r="C51" s="71" t="s">
        <v>78</v>
      </c>
      <c r="D51" s="72">
        <f>STDEV(E38:E41,G38:G41)/D50</f>
        <v>4.9761990628344561E-3</v>
      </c>
      <c r="F51" s="68"/>
    </row>
    <row r="52" spans="1:12" ht="19.5" customHeight="1" thickBot="1" x14ac:dyDescent="0.35">
      <c r="C52" s="73" t="s">
        <v>15</v>
      </c>
      <c r="D52" s="74">
        <f>COUNT(E38:E41,G38:G41)</f>
        <v>6</v>
      </c>
      <c r="F52" s="68"/>
    </row>
    <row r="54" spans="1:12" ht="18.75" x14ac:dyDescent="0.3">
      <c r="A54" s="5" t="s">
        <v>1</v>
      </c>
      <c r="B54" s="75" t="s">
        <v>79</v>
      </c>
    </row>
    <row r="55" spans="1:12" ht="18.75" x14ac:dyDescent="0.3">
      <c r="A55" s="9" t="s">
        <v>80</v>
      </c>
      <c r="B55" s="76" t="str">
        <f>B21</f>
        <v xml:space="preserve">EACH TABLETS CONTAINS ATAZANAVIR AND RITONAVIR TALETS 300/100 </v>
      </c>
    </row>
    <row r="56" spans="1:12" ht="26.25" customHeight="1" x14ac:dyDescent="0.4">
      <c r="A56" s="76" t="s">
        <v>81</v>
      </c>
      <c r="B56" s="17">
        <v>100</v>
      </c>
      <c r="C56" s="9" t="str">
        <f>B20</f>
        <v>RITONAVIR</v>
      </c>
      <c r="H56" s="58"/>
    </row>
    <row r="57" spans="1:12" ht="18.75" x14ac:dyDescent="0.3">
      <c r="A57" s="76" t="s">
        <v>82</v>
      </c>
      <c r="B57" s="77">
        <f>Uniformity!C46</f>
        <v>1977.2315000000003</v>
      </c>
      <c r="H57" s="58"/>
    </row>
    <row r="58" spans="1:12" ht="19.5" customHeight="1" thickBot="1" x14ac:dyDescent="0.35">
      <c r="H58" s="58"/>
    </row>
    <row r="59" spans="1:12" s="3" customFormat="1" ht="27" customHeight="1" thickBot="1" x14ac:dyDescent="0.45">
      <c r="A59" s="28" t="s">
        <v>83</v>
      </c>
      <c r="B59" s="29">
        <v>200</v>
      </c>
      <c r="C59" s="9"/>
      <c r="D59" s="78" t="s">
        <v>84</v>
      </c>
      <c r="E59" s="79" t="s">
        <v>85</v>
      </c>
      <c r="F59" s="79" t="s">
        <v>58</v>
      </c>
      <c r="G59" s="79" t="s">
        <v>86</v>
      </c>
      <c r="H59" s="32" t="s">
        <v>87</v>
      </c>
      <c r="L59" s="18"/>
    </row>
    <row r="60" spans="1:12" s="3" customFormat="1" ht="22.5" customHeight="1" x14ac:dyDescent="0.4">
      <c r="A60" s="30" t="s">
        <v>88</v>
      </c>
      <c r="B60" s="31">
        <v>3</v>
      </c>
      <c r="C60" s="579" t="s">
        <v>89</v>
      </c>
      <c r="D60" s="594">
        <v>1969.22</v>
      </c>
      <c r="E60" s="80">
        <v>1</v>
      </c>
      <c r="F60" s="81">
        <v>20499782</v>
      </c>
      <c r="G60" s="82">
        <f>IF(ISBLANK(F60),"-",(F60/$D$50*$D$47*$B$68)*($B$57/$D$60))</f>
        <v>98.316001556360774</v>
      </c>
      <c r="H60" s="83">
        <f t="shared" ref="H60:H71" si="0">IF(ISBLANK(F60),"-",G60/$B$56)</f>
        <v>0.98316001556360777</v>
      </c>
      <c r="L60" s="18"/>
    </row>
    <row r="61" spans="1:12" s="3" customFormat="1" ht="26.25" customHeight="1" x14ac:dyDescent="0.4">
      <c r="A61" s="30" t="s">
        <v>90</v>
      </c>
      <c r="B61" s="31">
        <v>25</v>
      </c>
      <c r="C61" s="580"/>
      <c r="D61" s="595"/>
      <c r="E61" s="84">
        <v>2</v>
      </c>
      <c r="F61" s="41">
        <v>20451780</v>
      </c>
      <c r="G61" s="85">
        <f>IF(ISBLANK(F61),"-",(F61/$D$50*$D$47*$B$68)*($B$57/$D$60))</f>
        <v>98.085786195694567</v>
      </c>
      <c r="H61" s="86">
        <f t="shared" si="0"/>
        <v>0.98085786195694569</v>
      </c>
      <c r="L61" s="18"/>
    </row>
    <row r="62" spans="1:12" s="3" customFormat="1" ht="26.25" customHeight="1" x14ac:dyDescent="0.4">
      <c r="A62" s="30" t="s">
        <v>91</v>
      </c>
      <c r="B62" s="31">
        <v>1</v>
      </c>
      <c r="C62" s="580"/>
      <c r="D62" s="595"/>
      <c r="E62" s="84">
        <v>3</v>
      </c>
      <c r="F62" s="41">
        <v>20273179</v>
      </c>
      <c r="G62" s="85">
        <f>IF(ISBLANK(F62),"-",(F62/$D$50*$D$47*$B$68)*($B$57/$D$60))</f>
        <v>97.2292241018163</v>
      </c>
      <c r="H62" s="86">
        <f t="shared" si="0"/>
        <v>0.97229224101816303</v>
      </c>
      <c r="L62" s="18"/>
    </row>
    <row r="63" spans="1:12" ht="21" customHeight="1" thickBot="1" x14ac:dyDescent="0.45">
      <c r="A63" s="30" t="s">
        <v>92</v>
      </c>
      <c r="B63" s="31">
        <v>1</v>
      </c>
      <c r="C63" s="581"/>
      <c r="D63" s="596"/>
      <c r="E63" s="87">
        <v>4</v>
      </c>
      <c r="F63" s="88"/>
      <c r="G63" s="85" t="str">
        <f>IF(ISBLANK(F63),"-",(F63/$D$50*$D$47*$B$68)*($B$57/$D$60))</f>
        <v>-</v>
      </c>
      <c r="H63" s="86" t="str">
        <f t="shared" si="0"/>
        <v>-</v>
      </c>
    </row>
    <row r="64" spans="1:12" ht="26.25" customHeight="1" x14ac:dyDescent="0.4">
      <c r="A64" s="30" t="s">
        <v>93</v>
      </c>
      <c r="B64" s="31">
        <v>1</v>
      </c>
      <c r="C64" s="579" t="s">
        <v>94</v>
      </c>
      <c r="D64" s="594">
        <v>1979.52</v>
      </c>
      <c r="E64" s="80">
        <v>1</v>
      </c>
      <c r="F64" s="81">
        <v>20687512</v>
      </c>
      <c r="G64" s="89">
        <f>IF(ISBLANK(F64),"-",(F64/$D$50*$D$47*$B$68)*($B$57/$D$64))</f>
        <v>98.700095322433441</v>
      </c>
      <c r="H64" s="90">
        <f t="shared" si="0"/>
        <v>0.98700095322433445</v>
      </c>
    </row>
    <row r="65" spans="1:8" ht="26.25" customHeight="1" x14ac:dyDescent="0.4">
      <c r="A65" s="30" t="s">
        <v>95</v>
      </c>
      <c r="B65" s="31">
        <v>1</v>
      </c>
      <c r="C65" s="580"/>
      <c r="D65" s="595"/>
      <c r="E65" s="84">
        <v>2</v>
      </c>
      <c r="F65" s="41">
        <v>20594297</v>
      </c>
      <c r="G65" s="91">
        <f>IF(ISBLANK(F65),"-",(F65/$D$50*$D$47*$B$68)*($B$57/$D$64))</f>
        <v>98.255366667509634</v>
      </c>
      <c r="H65" s="92">
        <f t="shared" si="0"/>
        <v>0.98255366667509636</v>
      </c>
    </row>
    <row r="66" spans="1:8" ht="26.25" customHeight="1" x14ac:dyDescent="0.4">
      <c r="A66" s="30" t="s">
        <v>96</v>
      </c>
      <c r="B66" s="31">
        <v>1</v>
      </c>
      <c r="C66" s="580"/>
      <c r="D66" s="595"/>
      <c r="E66" s="84">
        <v>3</v>
      </c>
      <c r="F66" s="41">
        <v>20501599</v>
      </c>
      <c r="G66" s="91">
        <f>IF(ISBLANK(F66),"-",(F66/$D$50*$D$47*$B$68)*($B$57/$D$64))</f>
        <v>97.813104618975302</v>
      </c>
      <c r="H66" s="92">
        <f t="shared" si="0"/>
        <v>0.978131046189753</v>
      </c>
    </row>
    <row r="67" spans="1:8" ht="21" customHeight="1" thickBot="1" x14ac:dyDescent="0.45">
      <c r="A67" s="30" t="s">
        <v>97</v>
      </c>
      <c r="B67" s="31">
        <v>1</v>
      </c>
      <c r="C67" s="581"/>
      <c r="D67" s="596"/>
      <c r="E67" s="87">
        <v>4</v>
      </c>
      <c r="F67" s="88"/>
      <c r="G67" s="93" t="str">
        <f>IF(ISBLANK(F67),"-",(F67/$D$50*$D$47*$B$68)*($B$57/$D$64))</f>
        <v>-</v>
      </c>
      <c r="H67" s="94" t="str">
        <f t="shared" si="0"/>
        <v>-</v>
      </c>
    </row>
    <row r="68" spans="1:8" ht="21.75" customHeight="1" x14ac:dyDescent="0.4">
      <c r="A68" s="30" t="s">
        <v>98</v>
      </c>
      <c r="B68" s="95">
        <f>(B67/B66)*(B65/B64)*(B63/B62)*(B61/B60)*B59</f>
        <v>1666.6666666666667</v>
      </c>
      <c r="C68" s="579" t="s">
        <v>99</v>
      </c>
      <c r="D68" s="594">
        <v>1977.16</v>
      </c>
      <c r="E68" s="80">
        <v>1</v>
      </c>
      <c r="F68" s="81">
        <v>21031635</v>
      </c>
      <c r="G68" s="89">
        <f>IF(ISBLANK(F68),"-",(F68/$D$50*$D$47*$B$68)*($B$57/$D$68))</f>
        <v>100.46167698536635</v>
      </c>
      <c r="H68" s="86">
        <f t="shared" si="0"/>
        <v>1.0046167698536634</v>
      </c>
    </row>
    <row r="69" spans="1:8" ht="21.75" customHeight="1" thickBot="1" x14ac:dyDescent="0.45">
      <c r="A69" s="96" t="s">
        <v>100</v>
      </c>
      <c r="B69" s="97">
        <f>D47*B68/B56*B57</f>
        <v>1921.2099408333336</v>
      </c>
      <c r="C69" s="580"/>
      <c r="D69" s="595"/>
      <c r="E69" s="84">
        <v>2</v>
      </c>
      <c r="F69" s="41">
        <v>20984813</v>
      </c>
      <c r="G69" s="91">
        <f>IF(ISBLANK(F69),"-",(F69/$D$50*$D$47*$B$68)*($B$57/$D$68))</f>
        <v>100.23802263610585</v>
      </c>
      <c r="H69" s="86">
        <f t="shared" si="0"/>
        <v>1.0023802263610586</v>
      </c>
    </row>
    <row r="70" spans="1:8" ht="22.5" customHeight="1" x14ac:dyDescent="0.4">
      <c r="A70" s="588" t="s">
        <v>72</v>
      </c>
      <c r="B70" s="589"/>
      <c r="C70" s="580"/>
      <c r="D70" s="595"/>
      <c r="E70" s="84">
        <v>3</v>
      </c>
      <c r="F70" s="41">
        <v>21050502</v>
      </c>
      <c r="G70" s="91">
        <f>IF(ISBLANK(F70),"-",(F70/$D$50*$D$47*$B$68)*($B$57/$D$68))</f>
        <v>100.55179886413053</v>
      </c>
      <c r="H70" s="86">
        <f t="shared" si="0"/>
        <v>1.0055179886413053</v>
      </c>
    </row>
    <row r="71" spans="1:8" ht="21.75" customHeight="1" thickBot="1" x14ac:dyDescent="0.45">
      <c r="A71" s="590"/>
      <c r="B71" s="591"/>
      <c r="C71" s="587"/>
      <c r="D71" s="596"/>
      <c r="E71" s="87">
        <v>4</v>
      </c>
      <c r="F71" s="88"/>
      <c r="G71" s="93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4">
      <c r="A72" s="58"/>
      <c r="B72" s="58"/>
      <c r="C72" s="58"/>
      <c r="D72" s="58"/>
      <c r="E72" s="58"/>
      <c r="F72" s="58"/>
      <c r="G72" s="99" t="s">
        <v>65</v>
      </c>
      <c r="H72" s="100">
        <f>AVERAGE(H60:H71)</f>
        <v>0.98850119660932512</v>
      </c>
    </row>
    <row r="73" spans="1:8" ht="26.25" customHeight="1" x14ac:dyDescent="0.4">
      <c r="C73" s="58"/>
      <c r="D73" s="58"/>
      <c r="E73" s="58"/>
      <c r="F73" s="58"/>
      <c r="G73" s="71" t="s">
        <v>78</v>
      </c>
      <c r="H73" s="101">
        <f>STDEV(H60:H71)/H72</f>
        <v>1.2578224428077159E-2</v>
      </c>
    </row>
    <row r="74" spans="1:8" ht="27" customHeight="1" thickBot="1" x14ac:dyDescent="0.45">
      <c r="A74" s="58"/>
      <c r="B74" s="58"/>
      <c r="C74" s="58"/>
      <c r="D74" s="58"/>
      <c r="E74" s="61"/>
      <c r="F74" s="58"/>
      <c r="G74" s="73" t="s">
        <v>15</v>
      </c>
      <c r="H74" s="102">
        <f>COUNT(H60:H71)</f>
        <v>9</v>
      </c>
    </row>
    <row r="75" spans="1:8" ht="18.75" x14ac:dyDescent="0.3">
      <c r="A75" s="58"/>
      <c r="B75" s="58"/>
      <c r="C75" s="58"/>
      <c r="D75" s="58"/>
      <c r="E75" s="61"/>
      <c r="F75" s="58"/>
      <c r="G75" s="16"/>
      <c r="H75" s="19"/>
    </row>
    <row r="76" spans="1:8" ht="18.75" x14ac:dyDescent="0.3">
      <c r="A76" s="13" t="s">
        <v>101</v>
      </c>
      <c r="B76" s="16" t="s">
        <v>102</v>
      </c>
      <c r="C76" s="592" t="str">
        <f>B20</f>
        <v>RITONAVIR</v>
      </c>
      <c r="D76" s="592"/>
      <c r="E76" s="9" t="s">
        <v>103</v>
      </c>
      <c r="F76" s="9"/>
      <c r="G76" s="103">
        <f>H72</f>
        <v>0.98850119660932512</v>
      </c>
      <c r="H76" s="19"/>
    </row>
    <row r="77" spans="1:8" ht="18.75" x14ac:dyDescent="0.3">
      <c r="A77" s="58"/>
      <c r="B77" s="58"/>
      <c r="C77" s="58"/>
      <c r="D77" s="58"/>
      <c r="E77" s="61"/>
      <c r="F77" s="58"/>
      <c r="G77" s="16"/>
      <c r="H77" s="19"/>
    </row>
    <row r="78" spans="1:8" ht="26.25" customHeight="1" x14ac:dyDescent="0.4">
      <c r="A78" s="12" t="s">
        <v>104</v>
      </c>
      <c r="B78" s="12" t="s">
        <v>105</v>
      </c>
      <c r="D78" s="104">
        <v>45</v>
      </c>
    </row>
    <row r="79" spans="1:8" ht="18.75" x14ac:dyDescent="0.3">
      <c r="A79" s="12"/>
      <c r="B79" s="12"/>
    </row>
    <row r="80" spans="1:8" ht="26.25" customHeight="1" x14ac:dyDescent="0.4">
      <c r="A80" s="13" t="s">
        <v>4</v>
      </c>
      <c r="B80" s="17" t="str">
        <f>B26</f>
        <v>Ritonavir</v>
      </c>
      <c r="C80" s="15"/>
    </row>
    <row r="81" spans="1:12" ht="26.25" customHeight="1" x14ac:dyDescent="0.4">
      <c r="A81" s="16" t="s">
        <v>43</v>
      </c>
      <c r="B81" s="17" t="str">
        <f>B27</f>
        <v>R14-3</v>
      </c>
    </row>
    <row r="82" spans="1:12" ht="27" customHeight="1" thickBot="1" x14ac:dyDescent="0.45">
      <c r="A82" s="16" t="s">
        <v>5</v>
      </c>
      <c r="B82" s="17">
        <v>99.4</v>
      </c>
    </row>
    <row r="83" spans="1:12" s="3" customFormat="1" ht="27" customHeight="1" thickBot="1" x14ac:dyDescent="0.45">
      <c r="A83" s="16" t="s">
        <v>44</v>
      </c>
      <c r="B83" s="17">
        <f>B29</f>
        <v>0</v>
      </c>
      <c r="C83" s="569" t="s">
        <v>45</v>
      </c>
      <c r="D83" s="570"/>
      <c r="E83" s="570"/>
      <c r="F83" s="570"/>
      <c r="G83" s="571"/>
      <c r="I83" s="18"/>
      <c r="J83" s="18"/>
      <c r="K83" s="18"/>
      <c r="L83" s="18"/>
    </row>
    <row r="84" spans="1:12" s="3" customFormat="1" ht="18.75" x14ac:dyDescent="0.3">
      <c r="A84" s="16" t="s">
        <v>46</v>
      </c>
      <c r="B84" s="19">
        <f>B82-B83</f>
        <v>99.4</v>
      </c>
      <c r="C84" s="20"/>
      <c r="D84" s="20"/>
      <c r="E84" s="20"/>
      <c r="F84" s="20"/>
      <c r="G84" s="21"/>
      <c r="I84" s="18"/>
      <c r="J84" s="18"/>
      <c r="K84" s="18"/>
      <c r="L84" s="18"/>
    </row>
    <row r="85" spans="1:12" s="3" customFormat="1" ht="19.5" customHeight="1" thickBot="1" x14ac:dyDescent="0.35">
      <c r="A85" s="16"/>
      <c r="B85" s="19"/>
      <c r="C85" s="20"/>
      <c r="D85" s="20"/>
      <c r="E85" s="20"/>
      <c r="F85" s="20"/>
      <c r="G85" s="21"/>
      <c r="I85" s="18"/>
      <c r="J85" s="18"/>
      <c r="K85" s="18"/>
      <c r="L85" s="18"/>
    </row>
    <row r="86" spans="1:12" s="3" customFormat="1" ht="27" customHeight="1" thickBot="1" x14ac:dyDescent="0.45">
      <c r="A86" s="16" t="s">
        <v>47</v>
      </c>
      <c r="B86" s="22">
        <v>1</v>
      </c>
      <c r="C86" s="560" t="s">
        <v>48</v>
      </c>
      <c r="D86" s="561"/>
      <c r="E86" s="561"/>
      <c r="F86" s="561"/>
      <c r="G86" s="561"/>
      <c r="H86" s="562"/>
      <c r="I86" s="18"/>
      <c r="J86" s="18"/>
      <c r="K86" s="18"/>
      <c r="L86" s="18"/>
    </row>
    <row r="87" spans="1:12" s="3" customFormat="1" ht="27" customHeight="1" thickBot="1" x14ac:dyDescent="0.45">
      <c r="A87" s="16" t="s">
        <v>49</v>
      </c>
      <c r="B87" s="22">
        <v>1</v>
      </c>
      <c r="C87" s="560" t="s">
        <v>50</v>
      </c>
      <c r="D87" s="561"/>
      <c r="E87" s="561"/>
      <c r="F87" s="561"/>
      <c r="G87" s="561"/>
      <c r="H87" s="562"/>
      <c r="I87" s="18"/>
      <c r="J87" s="18"/>
      <c r="K87" s="18"/>
      <c r="L87" s="18"/>
    </row>
    <row r="88" spans="1:12" s="3" customFormat="1" ht="18.75" x14ac:dyDescent="0.3">
      <c r="A88" s="16"/>
      <c r="B88" s="19"/>
      <c r="C88" s="20"/>
      <c r="D88" s="20"/>
      <c r="E88" s="20"/>
      <c r="F88" s="20"/>
      <c r="G88" s="21"/>
      <c r="I88" s="18"/>
      <c r="J88" s="18"/>
      <c r="K88" s="18"/>
      <c r="L88" s="18"/>
    </row>
    <row r="89" spans="1:12" ht="18.75" x14ac:dyDescent="0.3">
      <c r="A89" s="16" t="s">
        <v>51</v>
      </c>
      <c r="B89" s="27">
        <f>B86/B87</f>
        <v>1</v>
      </c>
      <c r="C89" s="9" t="s">
        <v>52</v>
      </c>
    </row>
    <row r="90" spans="1:12" ht="19.5" customHeight="1" thickBot="1" x14ac:dyDescent="0.35">
      <c r="A90" s="16"/>
      <c r="B90" s="27"/>
    </row>
    <row r="91" spans="1:12" ht="27" customHeight="1" thickBot="1" x14ac:dyDescent="0.45">
      <c r="A91" s="28" t="s">
        <v>53</v>
      </c>
      <c r="B91" s="29">
        <v>20</v>
      </c>
      <c r="D91" s="105" t="s">
        <v>54</v>
      </c>
      <c r="E91" s="106"/>
      <c r="F91" s="572" t="s">
        <v>55</v>
      </c>
      <c r="G91" s="574"/>
    </row>
    <row r="92" spans="1:12" ht="26.25" customHeight="1" x14ac:dyDescent="0.4">
      <c r="A92" s="30" t="s">
        <v>56</v>
      </c>
      <c r="B92" s="31">
        <v>4</v>
      </c>
      <c r="C92" s="107" t="s">
        <v>57</v>
      </c>
      <c r="D92" s="33" t="s">
        <v>58</v>
      </c>
      <c r="E92" s="34" t="s">
        <v>59</v>
      </c>
      <c r="F92" s="33" t="s">
        <v>58</v>
      </c>
      <c r="G92" s="35" t="s">
        <v>59</v>
      </c>
    </row>
    <row r="93" spans="1:12" ht="26.25" customHeight="1" x14ac:dyDescent="0.4">
      <c r="A93" s="30" t="s">
        <v>60</v>
      </c>
      <c r="B93" s="31">
        <v>20</v>
      </c>
      <c r="C93" s="108">
        <v>1</v>
      </c>
      <c r="D93" s="37">
        <v>19614688</v>
      </c>
      <c r="E93" s="38">
        <f>IF(ISBLANK(D93),"-",$D$103/$D$100*D93)</f>
        <v>20395955.058516476</v>
      </c>
      <c r="F93" s="37">
        <v>20741243</v>
      </c>
      <c r="G93" s="39">
        <f>IF(ISBLANK(F93),"-",$D$103/$F$100*F93)</f>
        <v>19969797.731744085</v>
      </c>
    </row>
    <row r="94" spans="1:12" ht="26.25" customHeight="1" x14ac:dyDescent="0.4">
      <c r="A94" s="30" t="s">
        <v>61</v>
      </c>
      <c r="B94" s="31">
        <v>1</v>
      </c>
      <c r="C94" s="58">
        <v>2</v>
      </c>
      <c r="D94" s="41">
        <v>19565052</v>
      </c>
      <c r="E94" s="42">
        <f>IF(ISBLANK(D94),"-",$D$103/$D$100*D94)</f>
        <v>20344342.021118965</v>
      </c>
      <c r="F94" s="41">
        <v>20723272</v>
      </c>
      <c r="G94" s="43">
        <f>IF(ISBLANK(F94),"-",$D$103/$F$100*F94)</f>
        <v>19952495.141198419</v>
      </c>
    </row>
    <row r="95" spans="1:12" ht="26.25" customHeight="1" x14ac:dyDescent="0.4">
      <c r="A95" s="30" t="s">
        <v>62</v>
      </c>
      <c r="B95" s="31">
        <v>1</v>
      </c>
      <c r="C95" s="58">
        <v>3</v>
      </c>
      <c r="D95" s="41">
        <v>19492181</v>
      </c>
      <c r="E95" s="42">
        <f>IF(ISBLANK(D95),"-",$D$103/$D$100*D95)</f>
        <v>20268568.517045427</v>
      </c>
      <c r="F95" s="41">
        <v>20809087</v>
      </c>
      <c r="G95" s="43">
        <f>IF(ISBLANK(F95),"-",$D$103/$F$100*F95)</f>
        <v>20035118.356805585</v>
      </c>
    </row>
    <row r="96" spans="1:12" ht="26.25" customHeight="1" x14ac:dyDescent="0.4">
      <c r="A96" s="30" t="s">
        <v>63</v>
      </c>
      <c r="B96" s="31">
        <v>1</v>
      </c>
      <c r="C96" s="109">
        <v>4</v>
      </c>
      <c r="D96" s="45"/>
      <c r="E96" s="46" t="str">
        <f>IF(ISBLANK(D96),"-",$D$103/$D$100*D96)</f>
        <v>-</v>
      </c>
      <c r="F96" s="110"/>
      <c r="G96" s="47" t="str">
        <f>IF(ISBLANK(F96),"-",$D$103/$F$100*F96)</f>
        <v>-</v>
      </c>
    </row>
    <row r="97" spans="1:10" ht="27" customHeight="1" thickBot="1" x14ac:dyDescent="0.45">
      <c r="A97" s="30" t="s">
        <v>64</v>
      </c>
      <c r="B97" s="31">
        <v>1</v>
      </c>
      <c r="C97" s="16" t="s">
        <v>65</v>
      </c>
      <c r="D97" s="111">
        <f>AVERAGE(D93:D96)</f>
        <v>19557307</v>
      </c>
      <c r="E97" s="50">
        <f>AVERAGE(E93:E96)</f>
        <v>20336288.532226954</v>
      </c>
      <c r="F97" s="112">
        <f>AVERAGE(F93:F96)</f>
        <v>20757867.333333332</v>
      </c>
      <c r="G97" s="113">
        <f>AVERAGE(G93:G96)</f>
        <v>19985803.743249364</v>
      </c>
    </row>
    <row r="98" spans="1:10" ht="26.25" customHeight="1" x14ac:dyDescent="0.4">
      <c r="A98" s="30" t="s">
        <v>66</v>
      </c>
      <c r="B98" s="17">
        <v>1</v>
      </c>
      <c r="C98" s="53" t="s">
        <v>67</v>
      </c>
      <c r="D98" s="54">
        <v>10.75</v>
      </c>
      <c r="E98" s="9"/>
      <c r="F98" s="55">
        <v>11.61</v>
      </c>
    </row>
    <row r="99" spans="1:10" ht="26.25" customHeight="1" x14ac:dyDescent="0.4">
      <c r="A99" s="30" t="s">
        <v>68</v>
      </c>
      <c r="B99" s="17">
        <v>1</v>
      </c>
      <c r="C99" s="56" t="s">
        <v>69</v>
      </c>
      <c r="D99" s="57">
        <f>D98*$B$89</f>
        <v>10.75</v>
      </c>
      <c r="E99" s="58"/>
      <c r="F99" s="59">
        <f>F98*$B$89</f>
        <v>11.61</v>
      </c>
    </row>
    <row r="100" spans="1:10" ht="19.5" customHeight="1" thickBot="1" x14ac:dyDescent="0.35">
      <c r="A100" s="30" t="s">
        <v>70</v>
      </c>
      <c r="B100" s="19">
        <f>(B99/B98)*(B97/B96)*(B95/B94)*(B93/B92)*B91</f>
        <v>100</v>
      </c>
      <c r="C100" s="56" t="s">
        <v>71</v>
      </c>
      <c r="D100" s="60">
        <f>D99*$B$84/100</f>
        <v>10.685499999999999</v>
      </c>
      <c r="E100" s="61"/>
      <c r="F100" s="62">
        <f>F99*$B$84/100</f>
        <v>11.54034</v>
      </c>
    </row>
    <row r="101" spans="1:10" ht="19.5" customHeight="1" thickBot="1" x14ac:dyDescent="0.35">
      <c r="A101" s="575" t="s">
        <v>72</v>
      </c>
      <c r="B101" s="576"/>
      <c r="C101" s="56" t="s">
        <v>73</v>
      </c>
      <c r="D101" s="57">
        <f>D100/$B$100</f>
        <v>0.10685499999999999</v>
      </c>
      <c r="E101" s="61"/>
      <c r="F101" s="63">
        <f>F100/$B$100</f>
        <v>0.1154034</v>
      </c>
      <c r="H101" s="4"/>
    </row>
    <row r="102" spans="1:10" ht="19.5" customHeight="1" thickBot="1" x14ac:dyDescent="0.35">
      <c r="A102" s="577"/>
      <c r="B102" s="578"/>
      <c r="C102" s="56" t="s">
        <v>74</v>
      </c>
      <c r="D102" s="60">
        <f>$B$56/$B$118</f>
        <v>0.1111111111111111</v>
      </c>
      <c r="F102" s="65"/>
      <c r="G102" s="114"/>
      <c r="H102" s="4"/>
    </row>
    <row r="103" spans="1:10" ht="18.75" x14ac:dyDescent="0.3">
      <c r="C103" s="56" t="s">
        <v>75</v>
      </c>
      <c r="D103" s="57">
        <f>D102*$B$100</f>
        <v>11.111111111111111</v>
      </c>
      <c r="F103" s="65"/>
      <c r="H103" s="4"/>
    </row>
    <row r="104" spans="1:10" ht="19.5" customHeight="1" thickBot="1" x14ac:dyDescent="0.35">
      <c r="C104" s="66" t="s">
        <v>76</v>
      </c>
      <c r="D104" s="67">
        <f>D103/B34</f>
        <v>11.111111111111111</v>
      </c>
      <c r="F104" s="68"/>
      <c r="H104" s="4"/>
      <c r="J104" s="115"/>
    </row>
    <row r="105" spans="1:10" ht="18.75" x14ac:dyDescent="0.3">
      <c r="C105" s="69" t="s">
        <v>77</v>
      </c>
      <c r="D105" s="70">
        <f>AVERAGE(E93:E96,G93:G96)</f>
        <v>20161046.137738157</v>
      </c>
      <c r="F105" s="68"/>
      <c r="G105" s="114"/>
      <c r="H105" s="4"/>
      <c r="J105" s="116"/>
    </row>
    <row r="106" spans="1:10" ht="18.75" x14ac:dyDescent="0.3">
      <c r="C106" s="71" t="s">
        <v>78</v>
      </c>
      <c r="D106" s="117">
        <f>STDEV(E93:E96,G93:G96)/D105</f>
        <v>9.8271276042200192E-3</v>
      </c>
      <c r="F106" s="68"/>
      <c r="H106" s="4"/>
      <c r="J106" s="116"/>
    </row>
    <row r="107" spans="1:10" ht="19.5" customHeight="1" thickBot="1" x14ac:dyDescent="0.35">
      <c r="C107" s="73" t="s">
        <v>15</v>
      </c>
      <c r="D107" s="118">
        <f>COUNT(E93:E96,G93:G96)</f>
        <v>6</v>
      </c>
      <c r="F107" s="68"/>
      <c r="H107" s="4"/>
      <c r="J107" s="116"/>
    </row>
    <row r="108" spans="1:10" ht="19.5" customHeight="1" thickBot="1" x14ac:dyDescent="0.35">
      <c r="A108" s="5"/>
      <c r="B108" s="5"/>
      <c r="C108" s="5"/>
      <c r="D108" s="5"/>
      <c r="E108" s="5"/>
    </row>
    <row r="109" spans="1:10" ht="26.25" customHeight="1" x14ac:dyDescent="0.4">
      <c r="A109" s="28" t="s">
        <v>106</v>
      </c>
      <c r="B109" s="29">
        <v>900</v>
      </c>
      <c r="C109" s="105" t="s">
        <v>107</v>
      </c>
      <c r="D109" s="119" t="s">
        <v>58</v>
      </c>
      <c r="E109" s="120" t="s">
        <v>108</v>
      </c>
      <c r="F109" s="121" t="s">
        <v>109</v>
      </c>
    </row>
    <row r="110" spans="1:10" ht="26.25" customHeight="1" x14ac:dyDescent="0.4">
      <c r="A110" s="30" t="s">
        <v>88</v>
      </c>
      <c r="B110" s="31">
        <v>1</v>
      </c>
      <c r="C110" s="122">
        <v>1</v>
      </c>
      <c r="D110" s="123">
        <v>9596255</v>
      </c>
      <c r="E110" s="124">
        <f t="shared" ref="E110:E115" si="1">IF(ISBLANK(D110),"-",D110/$D$105*$D$102*$B$118)</f>
        <v>47.598001286438162</v>
      </c>
      <c r="F110" s="125">
        <f t="shared" ref="F110:F115" si="2">IF(ISBLANK(D110), "-", E110/$B$56)</f>
        <v>0.47598001286438163</v>
      </c>
    </row>
    <row r="111" spans="1:10" ht="26.25" customHeight="1" x14ac:dyDescent="0.4">
      <c r="A111" s="30" t="s">
        <v>90</v>
      </c>
      <c r="B111" s="31">
        <v>1</v>
      </c>
      <c r="C111" s="122">
        <v>2</v>
      </c>
      <c r="D111" s="123">
        <v>9716870</v>
      </c>
      <c r="E111" s="126">
        <f t="shared" si="1"/>
        <v>48.196258932276436</v>
      </c>
      <c r="F111" s="127">
        <f t="shared" si="2"/>
        <v>0.48196258932276437</v>
      </c>
    </row>
    <row r="112" spans="1:10" ht="26.25" customHeight="1" x14ac:dyDescent="0.4">
      <c r="A112" s="30" t="s">
        <v>91</v>
      </c>
      <c r="B112" s="31">
        <v>1</v>
      </c>
      <c r="C112" s="122">
        <v>3</v>
      </c>
      <c r="D112" s="123">
        <v>9675588</v>
      </c>
      <c r="E112" s="126">
        <f t="shared" si="1"/>
        <v>47.991497732297198</v>
      </c>
      <c r="F112" s="127">
        <f t="shared" si="2"/>
        <v>0.479914977322972</v>
      </c>
    </row>
    <row r="113" spans="1:10" ht="26.25" customHeight="1" x14ac:dyDescent="0.4">
      <c r="A113" s="30" t="s">
        <v>92</v>
      </c>
      <c r="B113" s="31">
        <v>1</v>
      </c>
      <c r="C113" s="122">
        <v>4</v>
      </c>
      <c r="D113" s="123">
        <v>9734902</v>
      </c>
      <c r="E113" s="126">
        <f t="shared" si="1"/>
        <v>48.285698735532712</v>
      </c>
      <c r="F113" s="127">
        <f t="shared" si="2"/>
        <v>0.48285698735532712</v>
      </c>
    </row>
    <row r="114" spans="1:10" ht="26.25" customHeight="1" x14ac:dyDescent="0.4">
      <c r="A114" s="30" t="s">
        <v>93</v>
      </c>
      <c r="B114" s="31">
        <v>1</v>
      </c>
      <c r="C114" s="122">
        <v>5</v>
      </c>
      <c r="D114" s="123">
        <v>9722854</v>
      </c>
      <c r="E114" s="126">
        <f t="shared" si="1"/>
        <v>48.225939931759882</v>
      </c>
      <c r="F114" s="127">
        <f t="shared" si="2"/>
        <v>0.48225939931759881</v>
      </c>
    </row>
    <row r="115" spans="1:10" ht="26.25" customHeight="1" x14ac:dyDescent="0.4">
      <c r="A115" s="30" t="s">
        <v>95</v>
      </c>
      <c r="B115" s="31">
        <v>1</v>
      </c>
      <c r="C115" s="128">
        <v>6</v>
      </c>
      <c r="D115" s="129">
        <v>9657019</v>
      </c>
      <c r="E115" s="130">
        <f t="shared" si="1"/>
        <v>47.899394376781132</v>
      </c>
      <c r="F115" s="131">
        <f t="shared" si="2"/>
        <v>0.47899394376781129</v>
      </c>
    </row>
    <row r="116" spans="1:10" ht="26.25" customHeight="1" x14ac:dyDescent="0.4">
      <c r="A116" s="30" t="s">
        <v>96</v>
      </c>
      <c r="B116" s="31">
        <v>1</v>
      </c>
      <c r="C116" s="122"/>
      <c r="D116" s="58"/>
      <c r="E116" s="9"/>
      <c r="F116" s="132"/>
    </row>
    <row r="117" spans="1:10" ht="26.25" customHeight="1" x14ac:dyDescent="0.4">
      <c r="A117" s="30" t="s">
        <v>97</v>
      </c>
      <c r="B117" s="31">
        <v>1</v>
      </c>
      <c r="C117" s="122"/>
      <c r="D117" s="133"/>
      <c r="E117" s="134" t="s">
        <v>65</v>
      </c>
      <c r="F117" s="135">
        <f>AVERAGE(F110:F115)</f>
        <v>0.48032798499180923</v>
      </c>
    </row>
    <row r="118" spans="1:10" ht="19.5" customHeight="1" thickBot="1" x14ac:dyDescent="0.35">
      <c r="A118" s="30" t="s">
        <v>98</v>
      </c>
      <c r="B118" s="95">
        <f>(B117/B116)*(B115/B114)*(B113/B112)*(B111/B110)*B109</f>
        <v>900</v>
      </c>
      <c r="C118" s="136"/>
      <c r="D118" s="137"/>
      <c r="E118" s="16" t="s">
        <v>78</v>
      </c>
      <c r="F118" s="138">
        <f>STDEV(F110:F115)/F117</f>
        <v>5.4012042880475465E-3</v>
      </c>
      <c r="I118" s="9"/>
    </row>
    <row r="119" spans="1:10" ht="19.5" customHeight="1" thickBot="1" x14ac:dyDescent="0.35">
      <c r="A119" s="575" t="s">
        <v>72</v>
      </c>
      <c r="B119" s="585"/>
      <c r="C119" s="139"/>
      <c r="D119" s="140"/>
      <c r="E119" s="141" t="s">
        <v>15</v>
      </c>
      <c r="F119" s="118">
        <f>COUNT(F110:F115)</f>
        <v>6</v>
      </c>
      <c r="I119" s="9"/>
      <c r="J119" s="116"/>
    </row>
    <row r="120" spans="1:10" ht="19.5" customHeight="1" thickBot="1" x14ac:dyDescent="0.35">
      <c r="A120" s="577"/>
      <c r="B120" s="586"/>
      <c r="C120" s="9"/>
      <c r="D120" s="9"/>
      <c r="E120" s="9"/>
      <c r="F120" s="58"/>
      <c r="G120" s="9"/>
      <c r="H120" s="9"/>
      <c r="I120" s="9"/>
    </row>
    <row r="121" spans="1:10" ht="18.75" x14ac:dyDescent="0.3">
      <c r="A121" s="26"/>
      <c r="B121" s="26"/>
      <c r="C121" s="9"/>
      <c r="D121" s="9"/>
      <c r="E121" s="9"/>
      <c r="F121" s="58"/>
      <c r="G121" s="9"/>
      <c r="H121" s="9"/>
      <c r="I121" s="9"/>
    </row>
    <row r="122" spans="1:10" ht="18.75" x14ac:dyDescent="0.3">
      <c r="A122" s="13" t="s">
        <v>101</v>
      </c>
      <c r="B122" s="16" t="s">
        <v>102</v>
      </c>
      <c r="C122" s="592" t="str">
        <f>B20</f>
        <v>RITONAVIR</v>
      </c>
      <c r="D122" s="592"/>
      <c r="E122" s="9" t="s">
        <v>110</v>
      </c>
      <c r="F122" s="9"/>
      <c r="G122" s="103">
        <f>F117</f>
        <v>0.48032798499180923</v>
      </c>
      <c r="H122" s="9"/>
      <c r="I122" s="9"/>
    </row>
    <row r="123" spans="1:10" ht="18.75" x14ac:dyDescent="0.3">
      <c r="A123" s="26"/>
      <c r="B123" s="26"/>
      <c r="C123" s="9"/>
      <c r="D123" s="9"/>
      <c r="E123" s="9"/>
      <c r="F123" s="58"/>
      <c r="G123" s="9"/>
      <c r="H123" s="9"/>
      <c r="I123" s="9"/>
    </row>
    <row r="124" spans="1:10" ht="26.25" customHeight="1" x14ac:dyDescent="0.4">
      <c r="A124" s="12" t="s">
        <v>104</v>
      </c>
      <c r="B124" s="12" t="s">
        <v>105</v>
      </c>
      <c r="D124" s="104">
        <v>90</v>
      </c>
    </row>
    <row r="125" spans="1:10" ht="19.5" customHeight="1" thickBot="1" x14ac:dyDescent="0.35">
      <c r="A125" s="5"/>
      <c r="B125" s="5"/>
      <c r="C125" s="5"/>
      <c r="D125" s="5"/>
      <c r="E125" s="5"/>
    </row>
    <row r="126" spans="1:10" ht="26.25" customHeight="1" x14ac:dyDescent="0.4">
      <c r="A126" s="28" t="s">
        <v>106</v>
      </c>
      <c r="B126" s="29">
        <v>900</v>
      </c>
      <c r="C126" s="105" t="s">
        <v>107</v>
      </c>
      <c r="D126" s="119" t="s">
        <v>58</v>
      </c>
      <c r="E126" s="120" t="s">
        <v>108</v>
      </c>
      <c r="F126" s="121" t="s">
        <v>109</v>
      </c>
    </row>
    <row r="127" spans="1:10" ht="26.25" customHeight="1" x14ac:dyDescent="0.4">
      <c r="A127" s="30" t="s">
        <v>88</v>
      </c>
      <c r="B127" s="31">
        <v>1</v>
      </c>
      <c r="C127" s="122">
        <v>1</v>
      </c>
      <c r="D127" s="123">
        <v>15919215</v>
      </c>
      <c r="E127" s="142">
        <f t="shared" ref="E127:E132" si="3">IF(ISBLANK(D127),"-",D127/$D$105*$D$102*$B$135)</f>
        <v>78.960262732606182</v>
      </c>
      <c r="F127" s="143">
        <f t="shared" ref="F127:F132" si="4">IF(ISBLANK(D127), "-", E127/$B$56)</f>
        <v>0.78960262732606179</v>
      </c>
    </row>
    <row r="128" spans="1:10" ht="26.25" customHeight="1" x14ac:dyDescent="0.4">
      <c r="A128" s="30" t="s">
        <v>90</v>
      </c>
      <c r="B128" s="31">
        <v>1</v>
      </c>
      <c r="C128" s="122">
        <v>2</v>
      </c>
      <c r="D128" s="123">
        <v>15878908</v>
      </c>
      <c r="E128" s="144">
        <f t="shared" si="3"/>
        <v>78.760337591199189</v>
      </c>
      <c r="F128" s="145">
        <f t="shared" si="4"/>
        <v>0.78760337591199192</v>
      </c>
    </row>
    <row r="129" spans="1:10" ht="26.25" customHeight="1" x14ac:dyDescent="0.4">
      <c r="A129" s="30" t="s">
        <v>91</v>
      </c>
      <c r="B129" s="31">
        <v>1</v>
      </c>
      <c r="C129" s="122">
        <v>3</v>
      </c>
      <c r="D129" s="123">
        <v>15804845</v>
      </c>
      <c r="E129" s="144">
        <f t="shared" si="3"/>
        <v>78.392980661930693</v>
      </c>
      <c r="F129" s="145">
        <f t="shared" si="4"/>
        <v>0.78392980661930689</v>
      </c>
    </row>
    <row r="130" spans="1:10" ht="26.25" customHeight="1" x14ac:dyDescent="0.4">
      <c r="A130" s="30" t="s">
        <v>92</v>
      </c>
      <c r="B130" s="31">
        <v>1</v>
      </c>
      <c r="C130" s="122">
        <v>4</v>
      </c>
      <c r="D130" s="123">
        <v>15767312</v>
      </c>
      <c r="E130" s="144">
        <f t="shared" si="3"/>
        <v>78.206814727169302</v>
      </c>
      <c r="F130" s="145">
        <f t="shared" si="4"/>
        <v>0.78206814727169305</v>
      </c>
    </row>
    <row r="131" spans="1:10" ht="26.25" customHeight="1" x14ac:dyDescent="0.4">
      <c r="A131" s="30" t="s">
        <v>93</v>
      </c>
      <c r="B131" s="31">
        <v>1</v>
      </c>
      <c r="C131" s="122">
        <v>5</v>
      </c>
      <c r="D131" s="123">
        <v>15881644</v>
      </c>
      <c r="E131" s="144">
        <f t="shared" si="3"/>
        <v>78.773908315561954</v>
      </c>
      <c r="F131" s="145">
        <f t="shared" si="4"/>
        <v>0.78773908315561958</v>
      </c>
    </row>
    <row r="132" spans="1:10" ht="26.25" customHeight="1" x14ac:dyDescent="0.4">
      <c r="A132" s="30" t="s">
        <v>95</v>
      </c>
      <c r="B132" s="31">
        <v>1</v>
      </c>
      <c r="C132" s="128">
        <v>6</v>
      </c>
      <c r="D132" s="129">
        <v>15815661</v>
      </c>
      <c r="E132" s="146">
        <f t="shared" si="3"/>
        <v>78.446628671692224</v>
      </c>
      <c r="F132" s="147">
        <f t="shared" si="4"/>
        <v>0.7844662867169222</v>
      </c>
    </row>
    <row r="133" spans="1:10" ht="26.25" customHeight="1" x14ac:dyDescent="0.4">
      <c r="A133" s="30" t="s">
        <v>96</v>
      </c>
      <c r="B133" s="31">
        <v>1</v>
      </c>
      <c r="C133" s="122"/>
      <c r="D133" s="58"/>
      <c r="E133" s="9"/>
      <c r="F133" s="132"/>
    </row>
    <row r="134" spans="1:10" ht="26.25" customHeight="1" x14ac:dyDescent="0.4">
      <c r="A134" s="30" t="s">
        <v>97</v>
      </c>
      <c r="B134" s="31">
        <v>1</v>
      </c>
      <c r="C134" s="122"/>
      <c r="D134" s="133"/>
      <c r="E134" s="134" t="s">
        <v>65</v>
      </c>
      <c r="F134" s="148">
        <f>AVERAGE(F127:F132)</f>
        <v>0.785901554500266</v>
      </c>
    </row>
    <row r="135" spans="1:10" ht="27" customHeight="1" thickBot="1" x14ac:dyDescent="0.45">
      <c r="A135" s="30" t="s">
        <v>98</v>
      </c>
      <c r="B135" s="31">
        <f>(B134/B133)*(B132/B131)*(B130/B129)*(B128/B127)*B126</f>
        <v>900</v>
      </c>
      <c r="C135" s="136"/>
      <c r="D135" s="137"/>
      <c r="E135" s="16" t="s">
        <v>78</v>
      </c>
      <c r="F135" s="149">
        <f>STDEV(F127:F132)/F134</f>
        <v>3.62645045977072E-3</v>
      </c>
      <c r="I135" s="9"/>
    </row>
    <row r="136" spans="1:10" ht="27" customHeight="1" thickBot="1" x14ac:dyDescent="0.45">
      <c r="A136" s="575" t="s">
        <v>72</v>
      </c>
      <c r="B136" s="585"/>
      <c r="C136" s="139"/>
      <c r="D136" s="140"/>
      <c r="E136" s="141" t="s">
        <v>15</v>
      </c>
      <c r="F136" s="150">
        <f>COUNT(F127:F132)</f>
        <v>6</v>
      </c>
      <c r="I136" s="9"/>
      <c r="J136" s="116"/>
    </row>
    <row r="137" spans="1:10" ht="19.5" customHeight="1" thickBot="1" x14ac:dyDescent="0.35">
      <c r="A137" s="577"/>
      <c r="B137" s="586"/>
      <c r="C137" s="9"/>
      <c r="D137" s="9"/>
      <c r="E137" s="9"/>
      <c r="F137" s="58"/>
      <c r="G137" s="9"/>
      <c r="H137" s="9"/>
      <c r="I137" s="9"/>
    </row>
    <row r="138" spans="1:10" ht="18.75" x14ac:dyDescent="0.3">
      <c r="A138" s="26"/>
      <c r="B138" s="26"/>
      <c r="C138" s="9"/>
      <c r="D138" s="9"/>
      <c r="E138" s="9"/>
      <c r="F138" s="58"/>
      <c r="G138" s="9"/>
      <c r="H138" s="9"/>
      <c r="I138" s="9"/>
    </row>
    <row r="139" spans="1:10" ht="26.25" customHeight="1" x14ac:dyDescent="0.4">
      <c r="A139" s="13" t="s">
        <v>101</v>
      </c>
      <c r="B139" s="16" t="s">
        <v>102</v>
      </c>
      <c r="C139" s="592" t="str">
        <f>B20</f>
        <v>RITONAVIR</v>
      </c>
      <c r="D139" s="592"/>
      <c r="E139" s="9" t="s">
        <v>110</v>
      </c>
      <c r="F139" s="9"/>
      <c r="G139" s="151">
        <f>F134</f>
        <v>0.785901554500266</v>
      </c>
      <c r="H139" s="9"/>
      <c r="I139" s="9"/>
    </row>
    <row r="140" spans="1:10" ht="18.75" x14ac:dyDescent="0.3">
      <c r="A140" s="13"/>
      <c r="B140" s="16"/>
      <c r="C140" s="19"/>
      <c r="D140" s="19"/>
      <c r="E140" s="9"/>
      <c r="F140" s="9"/>
      <c r="G140" s="103"/>
      <c r="H140" s="9"/>
      <c r="I140" s="9"/>
    </row>
    <row r="141" spans="1:10" ht="26.25" customHeight="1" x14ac:dyDescent="0.4">
      <c r="A141" s="12" t="s">
        <v>104</v>
      </c>
      <c r="B141" s="12" t="s">
        <v>105</v>
      </c>
      <c r="D141" s="104"/>
      <c r="H141" s="9"/>
      <c r="I141" s="9"/>
    </row>
    <row r="142" spans="1:10" ht="19.5" customHeight="1" thickBot="1" x14ac:dyDescent="0.35">
      <c r="A142" s="5"/>
      <c r="B142" s="5"/>
      <c r="C142" s="5"/>
      <c r="D142" s="5"/>
      <c r="E142" s="5"/>
      <c r="H142" s="9"/>
      <c r="I142" s="9"/>
    </row>
    <row r="143" spans="1:10" ht="26.25" customHeight="1" x14ac:dyDescent="0.4">
      <c r="A143" s="28" t="s">
        <v>106</v>
      </c>
      <c r="B143" s="29"/>
      <c r="C143" s="105" t="s">
        <v>107</v>
      </c>
      <c r="D143" s="119" t="s">
        <v>58</v>
      </c>
      <c r="E143" s="120" t="s">
        <v>108</v>
      </c>
      <c r="F143" s="121" t="s">
        <v>109</v>
      </c>
      <c r="H143" s="9"/>
      <c r="I143" s="9"/>
    </row>
    <row r="144" spans="1:10" ht="26.25" customHeight="1" x14ac:dyDescent="0.4">
      <c r="A144" s="30" t="s">
        <v>88</v>
      </c>
      <c r="B144" s="31">
        <v>1</v>
      </c>
      <c r="C144" s="122">
        <v>1</v>
      </c>
      <c r="D144" s="123"/>
      <c r="E144" s="142" t="str">
        <f t="shared" ref="E144:E149" si="5">IF(ISBLANK(D144),"-",D144/$D$105*$D$102*$B$152)</f>
        <v>-</v>
      </c>
      <c r="F144" s="143" t="str">
        <f t="shared" ref="F144:F149" si="6">IF(ISBLANK(D144), "-", E144/$B$56)</f>
        <v>-</v>
      </c>
      <c r="H144" s="9"/>
      <c r="I144" s="9"/>
    </row>
    <row r="145" spans="1:9" ht="26.25" customHeight="1" x14ac:dyDescent="0.4">
      <c r="A145" s="30" t="s">
        <v>90</v>
      </c>
      <c r="B145" s="31">
        <v>1</v>
      </c>
      <c r="C145" s="122">
        <v>2</v>
      </c>
      <c r="D145" s="123"/>
      <c r="E145" s="144" t="str">
        <f t="shared" si="5"/>
        <v>-</v>
      </c>
      <c r="F145" s="145" t="str">
        <f t="shared" si="6"/>
        <v>-</v>
      </c>
      <c r="H145" s="9"/>
      <c r="I145" s="9"/>
    </row>
    <row r="146" spans="1:9" ht="26.25" customHeight="1" x14ac:dyDescent="0.4">
      <c r="A146" s="30" t="s">
        <v>91</v>
      </c>
      <c r="B146" s="31">
        <v>1</v>
      </c>
      <c r="C146" s="122">
        <v>3</v>
      </c>
      <c r="D146" s="123"/>
      <c r="E146" s="144" t="str">
        <f t="shared" si="5"/>
        <v>-</v>
      </c>
      <c r="F146" s="145" t="str">
        <f t="shared" si="6"/>
        <v>-</v>
      </c>
      <c r="H146" s="9"/>
      <c r="I146" s="9"/>
    </row>
    <row r="147" spans="1:9" ht="26.25" customHeight="1" x14ac:dyDescent="0.4">
      <c r="A147" s="30" t="s">
        <v>92</v>
      </c>
      <c r="B147" s="31">
        <v>1</v>
      </c>
      <c r="C147" s="122">
        <v>4</v>
      </c>
      <c r="D147" s="123"/>
      <c r="E147" s="144" t="str">
        <f t="shared" si="5"/>
        <v>-</v>
      </c>
      <c r="F147" s="145" t="str">
        <f t="shared" si="6"/>
        <v>-</v>
      </c>
      <c r="H147" s="9"/>
      <c r="I147" s="9"/>
    </row>
    <row r="148" spans="1:9" ht="26.25" customHeight="1" x14ac:dyDescent="0.4">
      <c r="A148" s="30" t="s">
        <v>93</v>
      </c>
      <c r="B148" s="31">
        <v>1</v>
      </c>
      <c r="C148" s="122">
        <v>5</v>
      </c>
      <c r="D148" s="123"/>
      <c r="E148" s="144" t="str">
        <f t="shared" si="5"/>
        <v>-</v>
      </c>
      <c r="F148" s="145" t="str">
        <f t="shared" si="6"/>
        <v>-</v>
      </c>
      <c r="H148" s="9"/>
      <c r="I148" s="9"/>
    </row>
    <row r="149" spans="1:9" ht="26.25" customHeight="1" x14ac:dyDescent="0.4">
      <c r="A149" s="30" t="s">
        <v>95</v>
      </c>
      <c r="B149" s="31">
        <v>1</v>
      </c>
      <c r="C149" s="128">
        <v>6</v>
      </c>
      <c r="D149" s="129"/>
      <c r="E149" s="146" t="str">
        <f t="shared" si="5"/>
        <v>-</v>
      </c>
      <c r="F149" s="147" t="str">
        <f t="shared" si="6"/>
        <v>-</v>
      </c>
      <c r="H149" s="9"/>
      <c r="I149" s="9"/>
    </row>
    <row r="150" spans="1:9" ht="26.25" customHeight="1" x14ac:dyDescent="0.4">
      <c r="A150" s="30" t="s">
        <v>96</v>
      </c>
      <c r="B150" s="31">
        <v>1</v>
      </c>
      <c r="C150" s="122"/>
      <c r="D150" s="58"/>
      <c r="E150" s="9"/>
      <c r="F150" s="132"/>
      <c r="H150" s="9"/>
      <c r="I150" s="9"/>
    </row>
    <row r="151" spans="1:9" ht="26.25" customHeight="1" x14ac:dyDescent="0.4">
      <c r="A151" s="30" t="s">
        <v>97</v>
      </c>
      <c r="B151" s="31">
        <v>1</v>
      </c>
      <c r="C151" s="122"/>
      <c r="D151" s="133"/>
      <c r="E151" s="134" t="s">
        <v>65</v>
      </c>
      <c r="F151" s="148" t="e">
        <f>AVERAGE(F144:F149)</f>
        <v>#DIV/0!</v>
      </c>
      <c r="H151" s="9"/>
      <c r="I151" s="9"/>
    </row>
    <row r="152" spans="1:9" ht="27" customHeight="1" thickBot="1" x14ac:dyDescent="0.45">
      <c r="A152" s="30" t="s">
        <v>98</v>
      </c>
      <c r="B152" s="31">
        <f>(B151/B150)*(B149/B148)*(B147/B146)*(B145/B144)*B143</f>
        <v>0</v>
      </c>
      <c r="C152" s="136"/>
      <c r="D152" s="137"/>
      <c r="E152" s="16" t="s">
        <v>78</v>
      </c>
      <c r="F152" s="149" t="e">
        <f>STDEV(F144:F149)/F151</f>
        <v>#DIV/0!</v>
      </c>
      <c r="H152" s="9"/>
      <c r="I152" s="9"/>
    </row>
    <row r="153" spans="1:9" ht="27" customHeight="1" thickBot="1" x14ac:dyDescent="0.45">
      <c r="A153" s="575" t="s">
        <v>72</v>
      </c>
      <c r="B153" s="585"/>
      <c r="C153" s="139"/>
      <c r="D153" s="140"/>
      <c r="E153" s="141" t="s">
        <v>15</v>
      </c>
      <c r="F153" s="150">
        <f>COUNT(F144:F149)</f>
        <v>0</v>
      </c>
      <c r="H153" s="9"/>
      <c r="I153" s="9"/>
    </row>
    <row r="154" spans="1:9" ht="19.5" customHeight="1" thickBot="1" x14ac:dyDescent="0.35">
      <c r="A154" s="577"/>
      <c r="B154" s="586"/>
      <c r="C154" s="9"/>
      <c r="D154" s="9"/>
      <c r="E154" s="9"/>
      <c r="F154" s="58"/>
      <c r="G154" s="9"/>
      <c r="H154" s="9"/>
      <c r="I154" s="9"/>
    </row>
    <row r="155" spans="1:9" ht="18.75" x14ac:dyDescent="0.3">
      <c r="A155" s="26"/>
      <c r="B155" s="26"/>
      <c r="C155" s="9"/>
      <c r="D155" s="9"/>
      <c r="E155" s="9"/>
      <c r="F155" s="58"/>
      <c r="G155" s="9"/>
      <c r="H155" s="9"/>
      <c r="I155" s="9"/>
    </row>
    <row r="156" spans="1:9" ht="26.25" customHeight="1" x14ac:dyDescent="0.4">
      <c r="A156" s="13" t="s">
        <v>101</v>
      </c>
      <c r="B156" s="16" t="s">
        <v>102</v>
      </c>
      <c r="C156" s="592" t="str">
        <f>B20</f>
        <v>RITONAVIR</v>
      </c>
      <c r="D156" s="592"/>
      <c r="E156" s="9" t="s">
        <v>110</v>
      </c>
      <c r="F156" s="9"/>
      <c r="G156" s="151" t="e">
        <f>F151</f>
        <v>#DIV/0!</v>
      </c>
      <c r="H156" s="9"/>
      <c r="I156" s="9"/>
    </row>
    <row r="157" spans="1:9" ht="18.75" x14ac:dyDescent="0.3">
      <c r="A157" s="13"/>
      <c r="B157" s="16"/>
      <c r="C157" s="19"/>
      <c r="D157" s="19"/>
      <c r="E157" s="9"/>
      <c r="F157" s="9"/>
      <c r="G157" s="103"/>
      <c r="H157" s="9"/>
      <c r="I157" s="9"/>
    </row>
    <row r="158" spans="1:9" ht="26.25" customHeight="1" x14ac:dyDescent="0.4">
      <c r="A158" s="12" t="s">
        <v>104</v>
      </c>
      <c r="B158" s="12" t="s">
        <v>105</v>
      </c>
      <c r="D158" s="104" t="s">
        <v>111</v>
      </c>
      <c r="H158" s="9"/>
      <c r="I158" s="9"/>
    </row>
    <row r="159" spans="1:9" ht="19.5" customHeight="1" thickBot="1" x14ac:dyDescent="0.35">
      <c r="A159" s="5"/>
      <c r="B159" s="5"/>
      <c r="C159" s="5"/>
      <c r="D159" s="5"/>
      <c r="E159" s="5"/>
      <c r="H159" s="9"/>
      <c r="I159" s="9"/>
    </row>
    <row r="160" spans="1:9" ht="26.25" customHeight="1" x14ac:dyDescent="0.4">
      <c r="A160" s="28" t="s">
        <v>106</v>
      </c>
      <c r="B160" s="29">
        <v>1</v>
      </c>
      <c r="C160" s="105" t="s">
        <v>107</v>
      </c>
      <c r="D160" s="119" t="s">
        <v>58</v>
      </c>
      <c r="E160" s="120" t="s">
        <v>108</v>
      </c>
      <c r="F160" s="121" t="s">
        <v>109</v>
      </c>
      <c r="H160" s="9"/>
      <c r="I160" s="9"/>
    </row>
    <row r="161" spans="1:9" ht="26.25" customHeight="1" x14ac:dyDescent="0.4">
      <c r="A161" s="30" t="s">
        <v>88</v>
      </c>
      <c r="B161" s="31">
        <v>1</v>
      </c>
      <c r="C161" s="122">
        <v>1</v>
      </c>
      <c r="D161" s="123"/>
      <c r="E161" s="142" t="str">
        <f t="shared" ref="E161:E166" si="7">IF(ISBLANK(D161),"-",D161/$D$105*$D$102*$B$169)</f>
        <v>-</v>
      </c>
      <c r="F161" s="143" t="str">
        <f t="shared" ref="F161:F166" si="8">IF(ISBLANK(D161), "-", E161/$B$56)</f>
        <v>-</v>
      </c>
      <c r="H161" s="9"/>
      <c r="I161" s="9"/>
    </row>
    <row r="162" spans="1:9" ht="26.25" customHeight="1" x14ac:dyDescent="0.4">
      <c r="A162" s="30" t="s">
        <v>90</v>
      </c>
      <c r="B162" s="31">
        <v>1</v>
      </c>
      <c r="C162" s="122">
        <v>2</v>
      </c>
      <c r="D162" s="123"/>
      <c r="E162" s="144" t="str">
        <f t="shared" si="7"/>
        <v>-</v>
      </c>
      <c r="F162" s="145" t="str">
        <f t="shared" si="8"/>
        <v>-</v>
      </c>
      <c r="H162" s="9"/>
      <c r="I162" s="9"/>
    </row>
    <row r="163" spans="1:9" ht="26.25" customHeight="1" x14ac:dyDescent="0.4">
      <c r="A163" s="30" t="s">
        <v>91</v>
      </c>
      <c r="B163" s="31">
        <v>1</v>
      </c>
      <c r="C163" s="122">
        <v>3</v>
      </c>
      <c r="D163" s="123"/>
      <c r="E163" s="144" t="str">
        <f t="shared" si="7"/>
        <v>-</v>
      </c>
      <c r="F163" s="145" t="str">
        <f t="shared" si="8"/>
        <v>-</v>
      </c>
      <c r="H163" s="9"/>
      <c r="I163" s="9"/>
    </row>
    <row r="164" spans="1:9" ht="26.25" customHeight="1" x14ac:dyDescent="0.4">
      <c r="A164" s="30" t="s">
        <v>92</v>
      </c>
      <c r="B164" s="31">
        <v>1</v>
      </c>
      <c r="C164" s="122">
        <v>4</v>
      </c>
      <c r="D164" s="123"/>
      <c r="E164" s="144" t="str">
        <f t="shared" si="7"/>
        <v>-</v>
      </c>
      <c r="F164" s="145" t="str">
        <f t="shared" si="8"/>
        <v>-</v>
      </c>
      <c r="H164" s="9"/>
      <c r="I164" s="9"/>
    </row>
    <row r="165" spans="1:9" ht="26.25" customHeight="1" x14ac:dyDescent="0.4">
      <c r="A165" s="30" t="s">
        <v>93</v>
      </c>
      <c r="B165" s="31">
        <v>1</v>
      </c>
      <c r="C165" s="122">
        <v>5</v>
      </c>
      <c r="D165" s="123"/>
      <c r="E165" s="144" t="str">
        <f t="shared" si="7"/>
        <v>-</v>
      </c>
      <c r="F165" s="145" t="str">
        <f t="shared" si="8"/>
        <v>-</v>
      </c>
      <c r="H165" s="9"/>
      <c r="I165" s="9"/>
    </row>
    <row r="166" spans="1:9" ht="26.25" customHeight="1" x14ac:dyDescent="0.4">
      <c r="A166" s="30" t="s">
        <v>95</v>
      </c>
      <c r="B166" s="31">
        <v>1</v>
      </c>
      <c r="C166" s="128">
        <v>6</v>
      </c>
      <c r="D166" s="129"/>
      <c r="E166" s="146" t="str">
        <f t="shared" si="7"/>
        <v>-</v>
      </c>
      <c r="F166" s="147" t="str">
        <f t="shared" si="8"/>
        <v>-</v>
      </c>
      <c r="H166" s="9"/>
      <c r="I166" s="9"/>
    </row>
    <row r="167" spans="1:9" ht="26.25" customHeight="1" x14ac:dyDescent="0.4">
      <c r="A167" s="30" t="s">
        <v>96</v>
      </c>
      <c r="B167" s="31">
        <v>1</v>
      </c>
      <c r="C167" s="122"/>
      <c r="D167" s="58"/>
      <c r="E167" s="9"/>
      <c r="F167" s="132"/>
      <c r="H167" s="9"/>
      <c r="I167" s="9"/>
    </row>
    <row r="168" spans="1:9" ht="26.25" customHeight="1" x14ac:dyDescent="0.4">
      <c r="A168" s="30" t="s">
        <v>97</v>
      </c>
      <c r="B168" s="31">
        <v>1</v>
      </c>
      <c r="C168" s="122"/>
      <c r="D168" s="133"/>
      <c r="E168" s="134" t="s">
        <v>65</v>
      </c>
      <c r="F168" s="148" t="e">
        <f>AVERAGE(F161:F166)</f>
        <v>#DIV/0!</v>
      </c>
      <c r="H168" s="9"/>
      <c r="I168" s="9"/>
    </row>
    <row r="169" spans="1:9" ht="27" customHeight="1" thickBot="1" x14ac:dyDescent="0.45">
      <c r="A169" s="30" t="s">
        <v>98</v>
      </c>
      <c r="B169" s="31">
        <f>(B168/B167)*(B166/B165)*(B164/B163)*(B162/B161)*B160</f>
        <v>1</v>
      </c>
      <c r="C169" s="136"/>
      <c r="D169" s="137"/>
      <c r="E169" s="16" t="s">
        <v>78</v>
      </c>
      <c r="F169" s="149" t="e">
        <f>STDEV(F161:F166)/F168</f>
        <v>#DIV/0!</v>
      </c>
      <c r="H169" s="9"/>
      <c r="I169" s="9"/>
    </row>
    <row r="170" spans="1:9" ht="27" customHeight="1" thickBot="1" x14ac:dyDescent="0.45">
      <c r="A170" s="575" t="s">
        <v>72</v>
      </c>
      <c r="B170" s="585"/>
      <c r="C170" s="139"/>
      <c r="D170" s="140"/>
      <c r="E170" s="141" t="s">
        <v>15</v>
      </c>
      <c r="F170" s="150">
        <f>COUNT(F161:F166)</f>
        <v>0</v>
      </c>
      <c r="H170" s="9"/>
      <c r="I170" s="9"/>
    </row>
    <row r="171" spans="1:9" ht="19.5" customHeight="1" thickBot="1" x14ac:dyDescent="0.35">
      <c r="A171" s="577"/>
      <c r="B171" s="586"/>
      <c r="C171" s="9"/>
      <c r="D171" s="9"/>
      <c r="E171" s="9"/>
      <c r="F171" s="58"/>
      <c r="G171" s="9"/>
      <c r="H171" s="9"/>
      <c r="I171" s="9"/>
    </row>
    <row r="172" spans="1:9" ht="18.75" x14ac:dyDescent="0.3">
      <c r="A172" s="26"/>
      <c r="B172" s="26"/>
      <c r="C172" s="9"/>
      <c r="D172" s="9"/>
      <c r="E172" s="9"/>
      <c r="F172" s="58"/>
      <c r="G172" s="9"/>
      <c r="H172" s="9"/>
      <c r="I172" s="9"/>
    </row>
    <row r="173" spans="1:9" ht="26.25" customHeight="1" x14ac:dyDescent="0.4">
      <c r="A173" s="13" t="s">
        <v>101</v>
      </c>
      <c r="B173" s="16" t="s">
        <v>102</v>
      </c>
      <c r="C173" s="592" t="str">
        <f>B20</f>
        <v>RITONAVIR</v>
      </c>
      <c r="D173" s="592"/>
      <c r="E173" s="9" t="s">
        <v>110</v>
      </c>
      <c r="F173" s="9"/>
      <c r="G173" s="151" t="e">
        <f>F168</f>
        <v>#DIV/0!</v>
      </c>
      <c r="H173" s="9"/>
      <c r="I173" s="9"/>
    </row>
    <row r="174" spans="1:9" ht="18.75" x14ac:dyDescent="0.3">
      <c r="A174" s="13"/>
      <c r="B174" s="16"/>
      <c r="C174" s="19"/>
      <c r="D174" s="19"/>
      <c r="E174" s="9"/>
      <c r="F174" s="9"/>
      <c r="G174" s="103"/>
      <c r="H174" s="9"/>
      <c r="I174" s="9"/>
    </row>
    <row r="175" spans="1:9" ht="19.5" customHeight="1" thickBot="1" x14ac:dyDescent="0.35">
      <c r="A175" s="152"/>
      <c r="B175" s="152"/>
      <c r="C175" s="153"/>
      <c r="D175" s="153"/>
      <c r="E175" s="153"/>
      <c r="F175" s="153"/>
      <c r="G175" s="153"/>
      <c r="H175" s="153"/>
    </row>
    <row r="176" spans="1:9" ht="18.75" x14ac:dyDescent="0.3">
      <c r="B176" s="593" t="s">
        <v>21</v>
      </c>
      <c r="C176" s="593"/>
      <c r="E176" s="107" t="s">
        <v>22</v>
      </c>
      <c r="F176" s="154"/>
      <c r="G176" s="593" t="s">
        <v>23</v>
      </c>
      <c r="H176" s="593"/>
    </row>
    <row r="177" spans="1:9" ht="83.1" customHeight="1" x14ac:dyDescent="0.3">
      <c r="A177" s="13" t="s">
        <v>24</v>
      </c>
      <c r="B177" s="155"/>
      <c r="C177" s="155"/>
      <c r="E177" s="156"/>
      <c r="F177" s="9"/>
      <c r="G177" s="156"/>
      <c r="H177" s="156"/>
    </row>
    <row r="178" spans="1:9" ht="83.1" customHeight="1" x14ac:dyDescent="0.3">
      <c r="A178" s="13" t="s">
        <v>25</v>
      </c>
      <c r="B178" s="157"/>
      <c r="C178" s="157"/>
      <c r="E178" s="158"/>
      <c r="F178" s="9"/>
      <c r="G178" s="159"/>
      <c r="H178" s="159"/>
    </row>
    <row r="179" spans="1:9" ht="18.75" x14ac:dyDescent="0.3">
      <c r="A179" s="58"/>
      <c r="B179" s="58"/>
      <c r="C179" s="58"/>
      <c r="D179" s="58"/>
      <c r="E179" s="58"/>
      <c r="F179" s="61"/>
      <c r="G179" s="58"/>
      <c r="H179" s="58"/>
      <c r="I179" s="9"/>
    </row>
    <row r="180" spans="1:9" ht="18.75" x14ac:dyDescent="0.3">
      <c r="A180" s="58"/>
      <c r="B180" s="58"/>
      <c r="C180" s="58"/>
      <c r="D180" s="58"/>
      <c r="E180" s="58"/>
      <c r="F180" s="61"/>
      <c r="G180" s="58"/>
      <c r="H180" s="58"/>
      <c r="I180" s="9"/>
    </row>
    <row r="181" spans="1:9" ht="18.75" x14ac:dyDescent="0.3">
      <c r="A181" s="58"/>
      <c r="B181" s="58"/>
      <c r="C181" s="58"/>
      <c r="D181" s="58"/>
      <c r="E181" s="58"/>
      <c r="F181" s="61"/>
      <c r="G181" s="58"/>
      <c r="H181" s="58"/>
      <c r="I181" s="9"/>
    </row>
    <row r="182" spans="1:9" ht="18.75" x14ac:dyDescent="0.3">
      <c r="A182" s="58"/>
      <c r="B182" s="58"/>
      <c r="C182" s="58"/>
      <c r="D182" s="58"/>
      <c r="E182" s="58"/>
      <c r="F182" s="61"/>
      <c r="G182" s="58"/>
      <c r="H182" s="58"/>
      <c r="I182" s="9"/>
    </row>
    <row r="183" spans="1:9" ht="18.75" x14ac:dyDescent="0.3">
      <c r="A183" s="58"/>
      <c r="B183" s="58"/>
      <c r="C183" s="58"/>
      <c r="D183" s="58"/>
      <c r="E183" s="58"/>
      <c r="F183" s="61"/>
      <c r="G183" s="58"/>
      <c r="H183" s="58"/>
      <c r="I183" s="9"/>
    </row>
    <row r="184" spans="1:9" ht="18.75" x14ac:dyDescent="0.3">
      <c r="A184" s="58"/>
      <c r="B184" s="58"/>
      <c r="C184" s="58"/>
      <c r="D184" s="58"/>
      <c r="E184" s="58"/>
      <c r="F184" s="61"/>
      <c r="G184" s="58"/>
      <c r="H184" s="58"/>
      <c r="I184" s="9"/>
    </row>
    <row r="185" spans="1:9" ht="18.75" x14ac:dyDescent="0.3">
      <c r="A185" s="58"/>
      <c r="B185" s="58"/>
      <c r="C185" s="58"/>
      <c r="D185" s="58"/>
      <c r="E185" s="58"/>
      <c r="F185" s="61"/>
      <c r="G185" s="58"/>
      <c r="H185" s="58"/>
      <c r="I185" s="9"/>
    </row>
    <row r="186" spans="1:9" ht="18.75" x14ac:dyDescent="0.3">
      <c r="A186" s="58"/>
      <c r="B186" s="58"/>
      <c r="C186" s="58"/>
      <c r="D186" s="58"/>
      <c r="E186" s="58"/>
      <c r="F186" s="61"/>
      <c r="G186" s="58"/>
      <c r="H186" s="58"/>
      <c r="I186" s="9"/>
    </row>
    <row r="187" spans="1:9" ht="18.75" x14ac:dyDescent="0.3">
      <c r="A187" s="58"/>
      <c r="B187" s="58"/>
      <c r="C187" s="58"/>
      <c r="D187" s="58"/>
      <c r="E187" s="58"/>
      <c r="F187" s="61"/>
      <c r="G187" s="58"/>
      <c r="H187" s="58"/>
      <c r="I187" s="9"/>
    </row>
    <row r="250" spans="1:1" x14ac:dyDescent="0.25">
      <c r="A250" s="1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topLeftCell="A42" workbookViewId="0">
      <selection activeCell="F51" sqref="F51"/>
    </sheetView>
  </sheetViews>
  <sheetFormatPr defaultRowHeight="13.5" x14ac:dyDescent="0.25"/>
  <cols>
    <col min="1" max="1" width="27.5703125" style="212" customWidth="1"/>
    <col min="2" max="2" width="20.42578125" style="212" customWidth="1"/>
    <col min="3" max="3" width="31.85546875" style="212" customWidth="1"/>
    <col min="4" max="5" width="25.85546875" style="212" customWidth="1"/>
    <col min="6" max="6" width="25.7109375" style="212" customWidth="1"/>
    <col min="7" max="7" width="23.140625" style="212" customWidth="1"/>
    <col min="8" max="8" width="28.42578125" style="212" customWidth="1"/>
    <col min="9" max="9" width="21.5703125" style="212" customWidth="1"/>
    <col min="10" max="10" width="9.140625" style="212" customWidth="1"/>
    <col min="11" max="16384" width="9.140625" style="250"/>
  </cols>
  <sheetData>
    <row r="14" spans="1:7" ht="15" customHeight="1" x14ac:dyDescent="0.3">
      <c r="A14" s="211"/>
      <c r="C14" s="213"/>
      <c r="G14" s="213"/>
    </row>
    <row r="15" spans="1:7" ht="18.75" customHeight="1" x14ac:dyDescent="0.3">
      <c r="A15" s="550" t="s">
        <v>0</v>
      </c>
      <c r="B15" s="550"/>
      <c r="C15" s="550"/>
      <c r="D15" s="550"/>
      <c r="E15" s="550"/>
      <c r="F15" s="550"/>
    </row>
    <row r="16" spans="1:7" ht="16.5" customHeight="1" x14ac:dyDescent="0.3">
      <c r="A16" s="214" t="s">
        <v>1</v>
      </c>
      <c r="B16" s="215" t="s">
        <v>2</v>
      </c>
    </row>
    <row r="17" spans="1:6" ht="16.5" customHeight="1" x14ac:dyDescent="0.3">
      <c r="A17" s="216" t="s">
        <v>3</v>
      </c>
      <c r="B17" s="216" t="s">
        <v>112</v>
      </c>
      <c r="D17" s="217"/>
      <c r="E17" s="217"/>
      <c r="F17" s="218"/>
    </row>
    <row r="18" spans="1:6" ht="16.5" customHeight="1" x14ac:dyDescent="0.3">
      <c r="A18" s="219" t="s">
        <v>4</v>
      </c>
      <c r="B18" s="216" t="s">
        <v>117</v>
      </c>
      <c r="C18" s="218"/>
      <c r="D18" s="218"/>
      <c r="E18" s="218"/>
      <c r="F18" s="218"/>
    </row>
    <row r="19" spans="1:6" ht="16.5" customHeight="1" x14ac:dyDescent="0.3">
      <c r="A19" s="219" t="s">
        <v>5</v>
      </c>
      <c r="B19" s="220">
        <v>99.4</v>
      </c>
      <c r="C19" s="218"/>
      <c r="D19" s="218"/>
      <c r="E19" s="218"/>
      <c r="F19" s="218"/>
    </row>
    <row r="20" spans="1:6" ht="16.5" customHeight="1" x14ac:dyDescent="0.3">
      <c r="A20" s="216" t="s">
        <v>6</v>
      </c>
      <c r="B20" s="220">
        <v>14.25</v>
      </c>
      <c r="C20" s="218"/>
      <c r="D20" s="218"/>
      <c r="E20" s="218"/>
      <c r="F20" s="218"/>
    </row>
    <row r="21" spans="1:6" ht="16.5" customHeight="1" x14ac:dyDescent="0.3">
      <c r="A21" s="216" t="s">
        <v>7</v>
      </c>
      <c r="B21" s="221">
        <f>14.25/25*5/50</f>
        <v>5.6999999999999995E-2</v>
      </c>
      <c r="C21" s="218"/>
      <c r="D21" s="218"/>
      <c r="E21" s="218"/>
      <c r="F21" s="218"/>
    </row>
    <row r="22" spans="1:6" ht="15.75" customHeight="1" x14ac:dyDescent="0.25">
      <c r="A22" s="218"/>
      <c r="B22" s="218"/>
      <c r="C22" s="218"/>
      <c r="D22" s="218"/>
      <c r="E22" s="218"/>
      <c r="F22" s="218"/>
    </row>
    <row r="23" spans="1:6" ht="16.5" customHeight="1" x14ac:dyDescent="0.3">
      <c r="A23" s="222" t="s">
        <v>8</v>
      </c>
      <c r="B23" s="223" t="s">
        <v>9</v>
      </c>
      <c r="C23" s="222" t="s">
        <v>10</v>
      </c>
      <c r="D23" s="222" t="s">
        <v>11</v>
      </c>
      <c r="E23" s="222" t="s">
        <v>123</v>
      </c>
      <c r="F23" s="222" t="s">
        <v>12</v>
      </c>
    </row>
    <row r="24" spans="1:6" ht="16.5" customHeight="1" x14ac:dyDescent="0.3">
      <c r="A24" s="224">
        <v>1</v>
      </c>
      <c r="B24" s="225">
        <v>19812477</v>
      </c>
      <c r="C24" s="225">
        <v>2226</v>
      </c>
      <c r="D24" s="226">
        <v>1</v>
      </c>
      <c r="E24" s="226">
        <v>2.71739</v>
      </c>
      <c r="F24" s="227">
        <v>5.5</v>
      </c>
    </row>
    <row r="25" spans="1:6" ht="16.5" customHeight="1" x14ac:dyDescent="0.3">
      <c r="A25" s="224">
        <v>2</v>
      </c>
      <c r="B25" s="225">
        <v>19799972</v>
      </c>
      <c r="C25" s="225">
        <v>2223.1999999999998</v>
      </c>
      <c r="D25" s="226">
        <v>1</v>
      </c>
      <c r="E25" s="226">
        <v>2.70634</v>
      </c>
      <c r="F25" s="226">
        <v>5.5</v>
      </c>
    </row>
    <row r="26" spans="1:6" ht="16.5" customHeight="1" x14ac:dyDescent="0.3">
      <c r="A26" s="224">
        <v>3</v>
      </c>
      <c r="B26" s="225">
        <v>19758072</v>
      </c>
      <c r="C26" s="225">
        <v>2220.6999999999998</v>
      </c>
      <c r="D26" s="226">
        <v>1</v>
      </c>
      <c r="E26" s="226">
        <v>2.7141700000000002</v>
      </c>
      <c r="F26" s="226">
        <v>5.5</v>
      </c>
    </row>
    <row r="27" spans="1:6" ht="16.5" customHeight="1" x14ac:dyDescent="0.3">
      <c r="A27" s="224">
        <v>4</v>
      </c>
      <c r="B27" s="225">
        <v>19751172</v>
      </c>
      <c r="C27" s="225">
        <v>2221.4</v>
      </c>
      <c r="D27" s="226">
        <v>1</v>
      </c>
      <c r="E27" s="226">
        <v>2.7022699999999999</v>
      </c>
      <c r="F27" s="226">
        <v>5.5</v>
      </c>
    </row>
    <row r="28" spans="1:6" ht="16.5" customHeight="1" x14ac:dyDescent="0.3">
      <c r="A28" s="224">
        <v>5</v>
      </c>
      <c r="B28" s="225">
        <v>19661027</v>
      </c>
      <c r="C28" s="225">
        <v>2212.4</v>
      </c>
      <c r="D28" s="226">
        <v>1</v>
      </c>
      <c r="E28" s="226">
        <v>2.6994699999999998</v>
      </c>
      <c r="F28" s="226">
        <v>5.5</v>
      </c>
    </row>
    <row r="29" spans="1:6" ht="16.5" customHeight="1" x14ac:dyDescent="0.3">
      <c r="A29" s="224">
        <v>6</v>
      </c>
      <c r="B29" s="228">
        <v>19798756</v>
      </c>
      <c r="C29" s="228">
        <v>2218.4</v>
      </c>
      <c r="D29" s="229">
        <v>1</v>
      </c>
      <c r="E29" s="229">
        <v>2.6995</v>
      </c>
      <c r="F29" s="229">
        <v>5.5</v>
      </c>
    </row>
    <row r="30" spans="1:6" ht="16.5" customHeight="1" x14ac:dyDescent="0.3">
      <c r="A30" s="230" t="s">
        <v>13</v>
      </c>
      <c r="B30" s="231">
        <f>AVERAGE(B24:B29)</f>
        <v>19763579.333333332</v>
      </c>
      <c r="C30" s="232">
        <f>AVERAGE(C24:C29)</f>
        <v>2220.35</v>
      </c>
      <c r="D30" s="233">
        <f>AVERAGE(D24:D29)</f>
        <v>1</v>
      </c>
      <c r="E30" s="233">
        <v>2.71</v>
      </c>
      <c r="F30" s="233">
        <f>AVERAGE(F24:F29)</f>
        <v>5.5</v>
      </c>
    </row>
    <row r="31" spans="1:6" ht="16.5" customHeight="1" x14ac:dyDescent="0.3">
      <c r="A31" s="234" t="s">
        <v>14</v>
      </c>
      <c r="B31" s="235">
        <f>(STDEV(B24:B29)/B30)</f>
        <v>2.8311500517884279E-3</v>
      </c>
      <c r="C31" s="236"/>
      <c r="D31" s="236"/>
      <c r="E31" s="236"/>
      <c r="F31" s="237"/>
    </row>
    <row r="32" spans="1:6" s="212" customFormat="1" ht="16.5" customHeight="1" x14ac:dyDescent="0.3">
      <c r="A32" s="238" t="s">
        <v>15</v>
      </c>
      <c r="B32" s="239">
        <f>COUNT(B24:B29)</f>
        <v>6</v>
      </c>
      <c r="C32" s="240"/>
      <c r="D32" s="241"/>
      <c r="E32" s="241"/>
      <c r="F32" s="242"/>
    </row>
    <row r="33" spans="1:6" s="212" customFormat="1" ht="15.75" customHeight="1" x14ac:dyDescent="0.25">
      <c r="A33" s="218"/>
      <c r="B33" s="218"/>
      <c r="C33" s="218"/>
      <c r="D33" s="218"/>
      <c r="E33" s="218"/>
      <c r="F33" s="218"/>
    </row>
    <row r="34" spans="1:6" s="212" customFormat="1" ht="16.5" customHeight="1" x14ac:dyDescent="0.3">
      <c r="A34" s="219" t="s">
        <v>16</v>
      </c>
      <c r="B34" s="243" t="s">
        <v>17</v>
      </c>
      <c r="C34" s="244"/>
      <c r="D34" s="244"/>
      <c r="E34" s="244"/>
      <c r="F34" s="244"/>
    </row>
    <row r="35" spans="1:6" ht="16.5" customHeight="1" x14ac:dyDescent="0.3">
      <c r="A35" s="219"/>
      <c r="B35" s="243" t="s">
        <v>18</v>
      </c>
      <c r="C35" s="244"/>
      <c r="D35" s="244"/>
      <c r="E35" s="244"/>
      <c r="F35" s="244"/>
    </row>
    <row r="36" spans="1:6" ht="16.5" customHeight="1" x14ac:dyDescent="0.3">
      <c r="A36" s="219"/>
      <c r="B36" s="243" t="s">
        <v>19</v>
      </c>
      <c r="C36" s="244"/>
      <c r="D36" s="244"/>
      <c r="E36" s="244"/>
      <c r="F36" s="244"/>
    </row>
    <row r="37" spans="1:6" ht="15.75" customHeight="1" x14ac:dyDescent="0.3">
      <c r="A37" s="218"/>
      <c r="B37" s="245" t="s">
        <v>124</v>
      </c>
      <c r="C37" s="218"/>
      <c r="D37" s="218"/>
      <c r="E37" s="218"/>
      <c r="F37" s="218"/>
    </row>
    <row r="38" spans="1:6" ht="16.5" customHeight="1" x14ac:dyDescent="0.3">
      <c r="A38" s="214" t="s">
        <v>1</v>
      </c>
      <c r="B38" s="215" t="s">
        <v>146</v>
      </c>
    </row>
    <row r="39" spans="1:6" ht="16.5" customHeight="1" x14ac:dyDescent="0.3">
      <c r="A39" s="219" t="s">
        <v>4</v>
      </c>
      <c r="B39" s="216" t="s">
        <v>117</v>
      </c>
      <c r="C39" s="218"/>
      <c r="D39" s="218"/>
      <c r="E39" s="218"/>
      <c r="F39" s="218"/>
    </row>
    <row r="40" spans="1:6" ht="16.5" customHeight="1" x14ac:dyDescent="0.3">
      <c r="A40" s="219" t="s">
        <v>5</v>
      </c>
      <c r="B40" s="220">
        <v>99.4</v>
      </c>
      <c r="C40" s="218"/>
      <c r="D40" s="218"/>
      <c r="E40" s="218"/>
      <c r="F40" s="218"/>
    </row>
    <row r="41" spans="1:6" ht="16.5" customHeight="1" x14ac:dyDescent="0.3">
      <c r="A41" s="216" t="s">
        <v>6</v>
      </c>
      <c r="B41" s="220">
        <f>'Ritonavir S2 DISSOLUTION'!D139</f>
        <v>10.16</v>
      </c>
      <c r="C41" s="218"/>
      <c r="D41" s="218"/>
      <c r="E41" s="218"/>
      <c r="F41" s="218"/>
    </row>
    <row r="42" spans="1:6" ht="16.5" customHeight="1" x14ac:dyDescent="0.3">
      <c r="A42" s="216" t="s">
        <v>7</v>
      </c>
      <c r="B42" s="221">
        <f>B41/'Ritonavir S2 DISSOLUTION'!B141</f>
        <v>0.1016</v>
      </c>
      <c r="C42" s="218"/>
      <c r="D42" s="218"/>
      <c r="E42" s="218"/>
      <c r="F42" s="218"/>
    </row>
    <row r="43" spans="1:6" ht="15.75" customHeight="1" x14ac:dyDescent="0.25">
      <c r="A43" s="218"/>
      <c r="B43" s="218"/>
      <c r="C43" s="218"/>
      <c r="D43" s="218"/>
      <c r="E43" s="218"/>
      <c r="F43" s="218"/>
    </row>
    <row r="44" spans="1:6" ht="16.5" customHeight="1" x14ac:dyDescent="0.3">
      <c r="A44" s="222" t="s">
        <v>8</v>
      </c>
      <c r="B44" s="223" t="s">
        <v>9</v>
      </c>
      <c r="C44" s="222" t="s">
        <v>10</v>
      </c>
      <c r="D44" s="222" t="s">
        <v>11</v>
      </c>
      <c r="E44" s="222" t="s">
        <v>123</v>
      </c>
      <c r="F44" s="222" t="s">
        <v>12</v>
      </c>
    </row>
    <row r="45" spans="1:6" ht="16.5" customHeight="1" x14ac:dyDescent="0.3">
      <c r="A45" s="224">
        <v>1</v>
      </c>
      <c r="B45" s="225">
        <v>24657239</v>
      </c>
      <c r="C45" s="225">
        <v>8097.33</v>
      </c>
      <c r="D45" s="226">
        <v>1</v>
      </c>
      <c r="E45" s="226"/>
      <c r="F45" s="227">
        <v>7.59</v>
      </c>
    </row>
    <row r="46" spans="1:6" ht="16.5" customHeight="1" x14ac:dyDescent="0.3">
      <c r="A46" s="224">
        <v>2</v>
      </c>
      <c r="B46" s="225">
        <v>24585739</v>
      </c>
      <c r="C46" s="225">
        <v>8119.9</v>
      </c>
      <c r="D46" s="226">
        <v>1</v>
      </c>
      <c r="E46" s="226"/>
      <c r="F46" s="226">
        <v>7.59</v>
      </c>
    </row>
    <row r="47" spans="1:6" ht="16.5" customHeight="1" x14ac:dyDescent="0.3">
      <c r="A47" s="224">
        <v>3</v>
      </c>
      <c r="B47" s="225">
        <v>24591402</v>
      </c>
      <c r="C47" s="225">
        <v>8106.53</v>
      </c>
      <c r="D47" s="226">
        <v>1.02</v>
      </c>
      <c r="E47" s="226"/>
      <c r="F47" s="226">
        <v>7.59</v>
      </c>
    </row>
    <row r="48" spans="1:6" ht="16.5" customHeight="1" x14ac:dyDescent="0.3">
      <c r="A48" s="224">
        <v>4</v>
      </c>
      <c r="B48" s="225">
        <v>24585840</v>
      </c>
      <c r="C48" s="225">
        <v>8104.98</v>
      </c>
      <c r="D48" s="226">
        <v>1</v>
      </c>
      <c r="E48" s="226"/>
      <c r="F48" s="226">
        <v>7.59</v>
      </c>
    </row>
    <row r="49" spans="1:8" ht="16.5" customHeight="1" x14ac:dyDescent="0.3">
      <c r="A49" s="224">
        <v>5</v>
      </c>
      <c r="B49" s="225">
        <v>24605022</v>
      </c>
      <c r="C49" s="225">
        <v>8088.26</v>
      </c>
      <c r="D49" s="226">
        <v>1</v>
      </c>
      <c r="E49" s="226"/>
      <c r="F49" s="226">
        <v>7.59</v>
      </c>
    </row>
    <row r="50" spans="1:8" ht="16.5" customHeight="1" x14ac:dyDescent="0.3">
      <c r="A50" s="224">
        <v>6</v>
      </c>
      <c r="B50" s="228">
        <v>24591628</v>
      </c>
      <c r="C50" s="228">
        <v>8087.64</v>
      </c>
      <c r="D50" s="229">
        <v>1</v>
      </c>
      <c r="E50" s="229"/>
      <c r="F50" s="229">
        <v>7.6</v>
      </c>
    </row>
    <row r="51" spans="1:8" ht="16.5" customHeight="1" x14ac:dyDescent="0.3">
      <c r="A51" s="230" t="s">
        <v>13</v>
      </c>
      <c r="B51" s="231">
        <f>AVERAGE(B45:B50)</f>
        <v>24602811.666666668</v>
      </c>
      <c r="C51" s="232">
        <f>AVERAGE(C45:C50)</f>
        <v>8100.7733333333335</v>
      </c>
      <c r="D51" s="233">
        <f>AVERAGE(D45:D50)</f>
        <v>1.0033333333333332</v>
      </c>
      <c r="E51" s="233"/>
      <c r="F51" s="233">
        <f>AVERAGE(F45:F50)</f>
        <v>7.5916666666666677</v>
      </c>
    </row>
    <row r="52" spans="1:8" ht="16.5" customHeight="1" x14ac:dyDescent="0.3">
      <c r="A52" s="234" t="s">
        <v>14</v>
      </c>
      <c r="B52" s="235">
        <f>(STDEV(B45:B50)/B51)</f>
        <v>1.1208194401661077E-3</v>
      </c>
      <c r="C52" s="236"/>
      <c r="D52" s="236"/>
      <c r="E52" s="236"/>
      <c r="F52" s="237"/>
    </row>
    <row r="53" spans="1:8" s="212" customFormat="1" ht="16.5" customHeight="1" x14ac:dyDescent="0.3">
      <c r="A53" s="238" t="s">
        <v>15</v>
      </c>
      <c r="B53" s="239">
        <f>COUNT(B45:B50)</f>
        <v>6</v>
      </c>
      <c r="C53" s="240"/>
      <c r="D53" s="241"/>
      <c r="E53" s="241"/>
      <c r="F53" s="242"/>
    </row>
    <row r="54" spans="1:8" s="212" customFormat="1" ht="15.75" customHeight="1" x14ac:dyDescent="0.25">
      <c r="A54" s="218"/>
      <c r="B54" s="218"/>
      <c r="C54" s="218"/>
      <c r="D54" s="218"/>
      <c r="E54" s="218"/>
      <c r="F54" s="218"/>
    </row>
    <row r="55" spans="1:8" s="212" customFormat="1" ht="16.5" customHeight="1" x14ac:dyDescent="0.3">
      <c r="A55" s="219" t="s">
        <v>16</v>
      </c>
      <c r="B55" s="243" t="s">
        <v>17</v>
      </c>
      <c r="C55" s="244"/>
      <c r="D55" s="244"/>
      <c r="E55" s="244"/>
      <c r="F55" s="244"/>
    </row>
    <row r="56" spans="1:8" ht="16.5" customHeight="1" x14ac:dyDescent="0.3">
      <c r="A56" s="219"/>
      <c r="B56" s="243" t="s">
        <v>18</v>
      </c>
      <c r="C56" s="244"/>
      <c r="D56" s="244"/>
      <c r="E56" s="244"/>
      <c r="F56" s="244"/>
    </row>
    <row r="57" spans="1:8" ht="16.5" customHeight="1" x14ac:dyDescent="0.3">
      <c r="A57" s="219"/>
      <c r="B57" s="243" t="s">
        <v>19</v>
      </c>
      <c r="C57" s="244"/>
      <c r="D57" s="244"/>
      <c r="E57" s="244"/>
      <c r="F57" s="244"/>
    </row>
    <row r="58" spans="1:8" ht="14.25" customHeight="1" thickBot="1" x14ac:dyDescent="0.3">
      <c r="A58" s="246"/>
      <c r="B58" s="247"/>
      <c r="D58" s="248"/>
      <c r="E58" s="249"/>
      <c r="G58" s="250"/>
      <c r="H58" s="250"/>
    </row>
    <row r="59" spans="1:8" ht="15" customHeight="1" x14ac:dyDescent="0.3">
      <c r="B59" s="551" t="s">
        <v>21</v>
      </c>
      <c r="C59" s="551"/>
      <c r="F59" s="251"/>
      <c r="G59" s="252"/>
      <c r="H59" s="305" t="s">
        <v>23</v>
      </c>
    </row>
    <row r="60" spans="1:8" ht="15" customHeight="1" x14ac:dyDescent="0.3">
      <c r="A60" s="254" t="s">
        <v>24</v>
      </c>
      <c r="B60" s="255" t="s">
        <v>121</v>
      </c>
      <c r="C60" s="255"/>
      <c r="F60" s="256" t="s">
        <v>122</v>
      </c>
      <c r="H60" s="255"/>
    </row>
    <row r="61" spans="1:8" ht="15" customHeight="1" x14ac:dyDescent="0.3">
      <c r="A61" s="254" t="s">
        <v>25</v>
      </c>
      <c r="B61" s="257"/>
      <c r="C61" s="257"/>
      <c r="F61" s="257"/>
      <c r="H61" s="25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A151" zoomScale="50" zoomScaleNormal="75" zoomScaleSheetLayoutView="50" workbookViewId="0">
      <selection activeCell="B165" sqref="B165"/>
    </sheetView>
  </sheetViews>
  <sheetFormatPr defaultRowHeight="16.5" x14ac:dyDescent="0.3"/>
  <cols>
    <col min="1" max="1" width="55.42578125" style="307" customWidth="1"/>
    <col min="2" max="2" width="33.7109375" style="307" customWidth="1"/>
    <col min="3" max="3" width="42.28515625" style="307" customWidth="1"/>
    <col min="4" max="4" width="30.5703125" style="307" customWidth="1"/>
    <col min="5" max="5" width="39.85546875" style="307" customWidth="1"/>
    <col min="6" max="6" width="30.7109375" style="307" customWidth="1"/>
    <col min="7" max="7" width="36.42578125" style="307" customWidth="1"/>
    <col min="8" max="8" width="41.140625" style="307" customWidth="1"/>
    <col min="9" max="9" width="30.42578125" style="306" customWidth="1"/>
    <col min="10" max="10" width="21.28515625" style="306" customWidth="1"/>
    <col min="11" max="11" width="9.140625" style="306" customWidth="1"/>
    <col min="12" max="16384" width="9.140625" style="308"/>
  </cols>
  <sheetData>
    <row r="1" spans="1:8" ht="15" x14ac:dyDescent="0.3">
      <c r="A1" s="624" t="s">
        <v>40</v>
      </c>
      <c r="B1" s="624"/>
      <c r="C1" s="624"/>
      <c r="D1" s="624"/>
      <c r="E1" s="624"/>
      <c r="F1" s="624"/>
      <c r="G1" s="624"/>
      <c r="H1" s="624"/>
    </row>
    <row r="2" spans="1:8" ht="15" x14ac:dyDescent="0.3">
      <c r="A2" s="624"/>
      <c r="B2" s="624"/>
      <c r="C2" s="624"/>
      <c r="D2" s="624"/>
      <c r="E2" s="624"/>
      <c r="F2" s="624"/>
      <c r="G2" s="624"/>
      <c r="H2" s="624"/>
    </row>
    <row r="3" spans="1:8" ht="15" x14ac:dyDescent="0.3">
      <c r="A3" s="624"/>
      <c r="B3" s="624"/>
      <c r="C3" s="624"/>
      <c r="D3" s="624"/>
      <c r="E3" s="624"/>
      <c r="F3" s="624"/>
      <c r="G3" s="624"/>
      <c r="H3" s="624"/>
    </row>
    <row r="4" spans="1:8" ht="15" x14ac:dyDescent="0.3">
      <c r="A4" s="624"/>
      <c r="B4" s="624"/>
      <c r="C4" s="624"/>
      <c r="D4" s="624"/>
      <c r="E4" s="624"/>
      <c r="F4" s="624"/>
      <c r="G4" s="624"/>
      <c r="H4" s="624"/>
    </row>
    <row r="5" spans="1:8" ht="15" x14ac:dyDescent="0.3">
      <c r="A5" s="624"/>
      <c r="B5" s="624"/>
      <c r="C5" s="624"/>
      <c r="D5" s="624"/>
      <c r="E5" s="624"/>
      <c r="F5" s="624"/>
      <c r="G5" s="624"/>
      <c r="H5" s="624"/>
    </row>
    <row r="6" spans="1:8" ht="15" x14ac:dyDescent="0.3">
      <c r="A6" s="624"/>
      <c r="B6" s="624"/>
      <c r="C6" s="624"/>
      <c r="D6" s="624"/>
      <c r="E6" s="624"/>
      <c r="F6" s="624"/>
      <c r="G6" s="624"/>
      <c r="H6" s="624"/>
    </row>
    <row r="7" spans="1:8" ht="15" x14ac:dyDescent="0.3">
      <c r="A7" s="624"/>
      <c r="B7" s="624"/>
      <c r="C7" s="624"/>
      <c r="D7" s="624"/>
      <c r="E7" s="624"/>
      <c r="F7" s="624"/>
      <c r="G7" s="624"/>
      <c r="H7" s="624"/>
    </row>
    <row r="8" spans="1:8" ht="15" x14ac:dyDescent="0.3">
      <c r="A8" s="625" t="s">
        <v>41</v>
      </c>
      <c r="B8" s="625"/>
      <c r="C8" s="625"/>
      <c r="D8" s="625"/>
      <c r="E8" s="625"/>
      <c r="F8" s="625"/>
      <c r="G8" s="625"/>
      <c r="H8" s="625"/>
    </row>
    <row r="9" spans="1:8" ht="15" x14ac:dyDescent="0.3">
      <c r="A9" s="625"/>
      <c r="B9" s="625"/>
      <c r="C9" s="625"/>
      <c r="D9" s="625"/>
      <c r="E9" s="625"/>
      <c r="F9" s="625"/>
      <c r="G9" s="625"/>
      <c r="H9" s="625"/>
    </row>
    <row r="10" spans="1:8" ht="15" x14ac:dyDescent="0.3">
      <c r="A10" s="625"/>
      <c r="B10" s="625"/>
      <c r="C10" s="625"/>
      <c r="D10" s="625"/>
      <c r="E10" s="625"/>
      <c r="F10" s="625"/>
      <c r="G10" s="625"/>
      <c r="H10" s="625"/>
    </row>
    <row r="11" spans="1:8" ht="15" x14ac:dyDescent="0.3">
      <c r="A11" s="625"/>
      <c r="B11" s="625"/>
      <c r="C11" s="625"/>
      <c r="D11" s="625"/>
      <c r="E11" s="625"/>
      <c r="F11" s="625"/>
      <c r="G11" s="625"/>
      <c r="H11" s="625"/>
    </row>
    <row r="12" spans="1:8" ht="15" x14ac:dyDescent="0.3">
      <c r="A12" s="625"/>
      <c r="B12" s="625"/>
      <c r="C12" s="625"/>
      <c r="D12" s="625"/>
      <c r="E12" s="625"/>
      <c r="F12" s="625"/>
      <c r="G12" s="625"/>
      <c r="H12" s="625"/>
    </row>
    <row r="13" spans="1:8" ht="15" x14ac:dyDescent="0.3">
      <c r="A13" s="625"/>
      <c r="B13" s="625"/>
      <c r="C13" s="625"/>
      <c r="D13" s="625"/>
      <c r="E13" s="625"/>
      <c r="F13" s="625"/>
      <c r="G13" s="625"/>
      <c r="H13" s="625"/>
    </row>
    <row r="14" spans="1:8" ht="15" x14ac:dyDescent="0.3">
      <c r="A14" s="625"/>
      <c r="B14" s="625"/>
      <c r="C14" s="625"/>
      <c r="D14" s="625"/>
      <c r="E14" s="625"/>
      <c r="F14" s="625"/>
      <c r="G14" s="625"/>
      <c r="H14" s="625"/>
    </row>
    <row r="15" spans="1:8" ht="19.5" customHeight="1" thickBot="1" x14ac:dyDescent="0.35"/>
    <row r="16" spans="1:8" ht="19.5" customHeight="1" thickBot="1" x14ac:dyDescent="0.35">
      <c r="A16" s="626" t="s">
        <v>26</v>
      </c>
      <c r="B16" s="627"/>
      <c r="C16" s="627"/>
      <c r="D16" s="627"/>
      <c r="E16" s="627"/>
      <c r="F16" s="627"/>
      <c r="G16" s="627"/>
      <c r="H16" s="628"/>
    </row>
    <row r="17" spans="1:13" ht="20.25" customHeight="1" x14ac:dyDescent="0.3">
      <c r="A17" s="629" t="s">
        <v>42</v>
      </c>
      <c r="B17" s="629"/>
      <c r="C17" s="629"/>
      <c r="D17" s="629"/>
      <c r="E17" s="629"/>
      <c r="F17" s="629"/>
      <c r="G17" s="629"/>
      <c r="H17" s="629"/>
    </row>
    <row r="18" spans="1:13" ht="26.25" customHeight="1" x14ac:dyDescent="0.4">
      <c r="A18" s="309" t="s">
        <v>28</v>
      </c>
      <c r="B18" s="630" t="s">
        <v>112</v>
      </c>
      <c r="C18" s="630"/>
      <c r="D18" s="310"/>
      <c r="E18" s="310"/>
    </row>
    <row r="19" spans="1:13" ht="26.25" customHeight="1" x14ac:dyDescent="0.4">
      <c r="A19" s="309" t="s">
        <v>29</v>
      </c>
      <c r="B19" s="311" t="s">
        <v>127</v>
      </c>
      <c r="C19" s="312">
        <v>11</v>
      </c>
    </row>
    <row r="20" spans="1:13" ht="26.25" customHeight="1" x14ac:dyDescent="0.4">
      <c r="A20" s="309" t="s">
        <v>30</v>
      </c>
      <c r="B20" s="623" t="s">
        <v>117</v>
      </c>
      <c r="C20" s="623"/>
    </row>
    <row r="21" spans="1:13" ht="26.25" customHeight="1" x14ac:dyDescent="0.4">
      <c r="A21" s="309" t="s">
        <v>31</v>
      </c>
      <c r="B21" s="623" t="s">
        <v>115</v>
      </c>
      <c r="C21" s="623"/>
      <c r="D21" s="623"/>
      <c r="E21" s="623"/>
      <c r="F21" s="623"/>
      <c r="G21" s="623"/>
      <c r="H21" s="623"/>
    </row>
    <row r="22" spans="1:13" ht="26.25" customHeight="1" x14ac:dyDescent="0.3">
      <c r="A22" s="309" t="s">
        <v>32</v>
      </c>
      <c r="B22" s="313">
        <v>42783</v>
      </c>
    </row>
    <row r="23" spans="1:13" ht="26.25" customHeight="1" x14ac:dyDescent="0.3">
      <c r="A23" s="309" t="s">
        <v>33</v>
      </c>
      <c r="B23" s="313">
        <v>42814</v>
      </c>
    </row>
    <row r="24" spans="1:13" ht="18.75" x14ac:dyDescent="0.3">
      <c r="A24" s="309"/>
      <c r="B24" s="314"/>
    </row>
    <row r="25" spans="1:13" ht="18.75" x14ac:dyDescent="0.3">
      <c r="A25" s="315" t="s">
        <v>1</v>
      </c>
      <c r="B25" s="314"/>
    </row>
    <row r="26" spans="1:13" ht="26.25" customHeight="1" x14ac:dyDescent="0.3">
      <c r="A26" s="316" t="s">
        <v>4</v>
      </c>
      <c r="B26" s="619" t="s">
        <v>117</v>
      </c>
      <c r="C26" s="619"/>
    </row>
    <row r="27" spans="1:13" ht="26.25" customHeight="1" x14ac:dyDescent="0.3">
      <c r="A27" s="317" t="s">
        <v>43</v>
      </c>
      <c r="B27" s="620" t="s">
        <v>118</v>
      </c>
      <c r="C27" s="620"/>
    </row>
    <row r="28" spans="1:13" ht="27" customHeight="1" thickBot="1" x14ac:dyDescent="0.35">
      <c r="A28" s="317" t="s">
        <v>5</v>
      </c>
      <c r="B28" s="318">
        <v>99.4</v>
      </c>
    </row>
    <row r="29" spans="1:13" s="322" customFormat="1" ht="15.75" customHeight="1" thickBot="1" x14ac:dyDescent="0.3">
      <c r="A29" s="317" t="s">
        <v>44</v>
      </c>
      <c r="B29" s="319">
        <v>0</v>
      </c>
      <c r="C29" s="603" t="s">
        <v>139</v>
      </c>
      <c r="D29" s="604"/>
      <c r="E29" s="604"/>
      <c r="F29" s="604"/>
      <c r="G29" s="605"/>
      <c r="H29" s="320"/>
      <c r="I29" s="321"/>
      <c r="J29" s="321"/>
      <c r="K29" s="321"/>
    </row>
    <row r="30" spans="1:13" s="322" customFormat="1" ht="19.5" customHeight="1" thickBot="1" x14ac:dyDescent="0.3">
      <c r="A30" s="317" t="s">
        <v>46</v>
      </c>
      <c r="B30" s="323">
        <f>B28-B29</f>
        <v>99.4</v>
      </c>
      <c r="C30" s="324"/>
      <c r="D30" s="324"/>
      <c r="E30" s="324"/>
      <c r="F30" s="324"/>
      <c r="G30" s="325"/>
      <c r="H30" s="320"/>
      <c r="I30" s="321"/>
      <c r="J30" s="321"/>
      <c r="K30" s="321"/>
    </row>
    <row r="31" spans="1:13" s="322" customFormat="1" ht="27" customHeight="1" thickBot="1" x14ac:dyDescent="0.3">
      <c r="A31" s="317" t="s">
        <v>47</v>
      </c>
      <c r="B31" s="326">
        <v>1</v>
      </c>
      <c r="C31" s="606" t="s">
        <v>48</v>
      </c>
      <c r="D31" s="607"/>
      <c r="E31" s="607"/>
      <c r="F31" s="607"/>
      <c r="G31" s="607"/>
      <c r="H31" s="608"/>
      <c r="I31" s="321"/>
      <c r="J31" s="321"/>
      <c r="K31" s="321"/>
    </row>
    <row r="32" spans="1:13" s="322" customFormat="1" ht="27" customHeight="1" thickBot="1" x14ac:dyDescent="0.3">
      <c r="A32" s="317" t="s">
        <v>49</v>
      </c>
      <c r="B32" s="326">
        <v>1</v>
      </c>
      <c r="C32" s="606" t="s">
        <v>50</v>
      </c>
      <c r="D32" s="607"/>
      <c r="E32" s="607"/>
      <c r="F32" s="607"/>
      <c r="G32" s="607"/>
      <c r="H32" s="608"/>
      <c r="I32" s="321"/>
      <c r="J32" s="321"/>
      <c r="K32" s="327"/>
      <c r="L32" s="327"/>
      <c r="M32" s="328"/>
    </row>
    <row r="33" spans="1:13" s="322" customFormat="1" ht="17.25" customHeight="1" x14ac:dyDescent="0.25">
      <c r="A33" s="317"/>
      <c r="B33" s="329"/>
      <c r="C33" s="330"/>
      <c r="D33" s="330"/>
      <c r="E33" s="330"/>
      <c r="F33" s="330"/>
      <c r="G33" s="330"/>
      <c r="H33" s="330"/>
      <c r="I33" s="321"/>
      <c r="J33" s="321"/>
      <c r="K33" s="327"/>
      <c r="L33" s="327"/>
      <c r="M33" s="328"/>
    </row>
    <row r="34" spans="1:13" s="322" customFormat="1" ht="18.75" x14ac:dyDescent="0.25">
      <c r="A34" s="317" t="s">
        <v>51</v>
      </c>
      <c r="B34" s="331">
        <f>B31/B32</f>
        <v>1</v>
      </c>
      <c r="C34" s="312" t="s">
        <v>52</v>
      </c>
      <c r="D34" s="312"/>
      <c r="E34" s="312"/>
      <c r="F34" s="312"/>
      <c r="G34" s="312"/>
      <c r="H34" s="320"/>
      <c r="I34" s="321"/>
      <c r="J34" s="321"/>
      <c r="K34" s="327"/>
      <c r="L34" s="327"/>
      <c r="M34" s="328"/>
    </row>
    <row r="35" spans="1:13" s="322" customFormat="1" ht="19.5" customHeight="1" thickBot="1" x14ac:dyDescent="0.3">
      <c r="A35" s="317"/>
      <c r="B35" s="323"/>
      <c r="C35" s="320"/>
      <c r="D35" s="320"/>
      <c r="E35" s="320"/>
      <c r="F35" s="320"/>
      <c r="G35" s="312"/>
      <c r="H35" s="320"/>
      <c r="I35" s="321"/>
      <c r="J35" s="321"/>
      <c r="K35" s="327"/>
      <c r="L35" s="327"/>
      <c r="M35" s="328"/>
    </row>
    <row r="36" spans="1:13" s="322" customFormat="1" ht="27" customHeight="1" thickBot="1" x14ac:dyDescent="0.3">
      <c r="A36" s="332" t="s">
        <v>135</v>
      </c>
      <c r="B36" s="333">
        <v>25</v>
      </c>
      <c r="C36" s="312"/>
      <c r="D36" s="613" t="s">
        <v>54</v>
      </c>
      <c r="E36" s="621"/>
      <c r="F36" s="613" t="s">
        <v>55</v>
      </c>
      <c r="G36" s="614"/>
      <c r="H36" s="320"/>
      <c r="I36" s="321"/>
      <c r="J36" s="321"/>
      <c r="K36" s="327"/>
      <c r="L36" s="327"/>
      <c r="M36" s="328"/>
    </row>
    <row r="37" spans="1:13" s="322" customFormat="1" ht="26.25" customHeight="1" x14ac:dyDescent="0.25">
      <c r="A37" s="334" t="s">
        <v>56</v>
      </c>
      <c r="B37" s="335">
        <v>5</v>
      </c>
      <c r="C37" s="336" t="s">
        <v>85</v>
      </c>
      <c r="D37" s="337" t="s">
        <v>58</v>
      </c>
      <c r="E37" s="338" t="s">
        <v>59</v>
      </c>
      <c r="F37" s="337" t="s">
        <v>58</v>
      </c>
      <c r="G37" s="339" t="s">
        <v>59</v>
      </c>
      <c r="H37" s="320"/>
      <c r="I37" s="321"/>
      <c r="J37" s="321"/>
      <c r="K37" s="327"/>
      <c r="L37" s="327"/>
      <c r="M37" s="328"/>
    </row>
    <row r="38" spans="1:13" s="322" customFormat="1" ht="26.25" customHeight="1" x14ac:dyDescent="0.25">
      <c r="A38" s="334" t="s">
        <v>60</v>
      </c>
      <c r="B38" s="335">
        <v>50</v>
      </c>
      <c r="C38" s="340">
        <v>1</v>
      </c>
      <c r="D38" s="341">
        <v>19651810</v>
      </c>
      <c r="E38" s="342">
        <f>IF(ISBLANK(D38),"-",$D$48/$D$45*D38)</f>
        <v>20221337.198630374</v>
      </c>
      <c r="F38" s="341">
        <v>20950147</v>
      </c>
      <c r="G38" s="343">
        <f>IF(ISBLANK(F38),"-",$D$48/$F$45*F38)</f>
        <v>20263294.312378228</v>
      </c>
      <c r="H38" s="320"/>
      <c r="I38" s="321"/>
      <c r="J38" s="321"/>
      <c r="K38" s="327"/>
      <c r="L38" s="327"/>
      <c r="M38" s="328"/>
    </row>
    <row r="39" spans="1:13" s="322" customFormat="1" ht="26.25" customHeight="1" x14ac:dyDescent="0.25">
      <c r="A39" s="334" t="s">
        <v>61</v>
      </c>
      <c r="B39" s="335">
        <v>1</v>
      </c>
      <c r="C39" s="344">
        <v>2</v>
      </c>
      <c r="D39" s="345">
        <v>19776320</v>
      </c>
      <c r="E39" s="346">
        <f>IF(ISBLANK(D39),"-",$D$48/$D$45*D39)</f>
        <v>20349455.610858127</v>
      </c>
      <c r="F39" s="345">
        <v>21131222</v>
      </c>
      <c r="G39" s="347">
        <f>IF(ISBLANK(F39),"-",$D$48/$F$45*F39)</f>
        <v>20438432.750195101</v>
      </c>
      <c r="H39" s="320"/>
      <c r="I39" s="321"/>
      <c r="J39" s="321"/>
      <c r="K39" s="327"/>
      <c r="L39" s="327"/>
      <c r="M39" s="328"/>
    </row>
    <row r="40" spans="1:13" ht="26.25" customHeight="1" x14ac:dyDescent="0.3">
      <c r="A40" s="334" t="s">
        <v>62</v>
      </c>
      <c r="B40" s="335">
        <v>1</v>
      </c>
      <c r="C40" s="344">
        <v>3</v>
      </c>
      <c r="D40" s="345">
        <v>19729521</v>
      </c>
      <c r="E40" s="346">
        <f>IF(ISBLANK(D40),"-",$D$48/$D$45*D40)</f>
        <v>20301300.333580427</v>
      </c>
      <c r="F40" s="345">
        <v>21175795</v>
      </c>
      <c r="G40" s="347">
        <f>IF(ISBLANK(F40),"-",$D$48/$F$45*F40)</f>
        <v>20481544.419883415</v>
      </c>
      <c r="K40" s="327"/>
      <c r="L40" s="327"/>
      <c r="M40" s="348"/>
    </row>
    <row r="41" spans="1:13" ht="26.25" customHeight="1" x14ac:dyDescent="0.3">
      <c r="A41" s="334" t="s">
        <v>63</v>
      </c>
      <c r="B41" s="335">
        <v>1</v>
      </c>
      <c r="C41" s="349">
        <v>4</v>
      </c>
      <c r="D41" s="350"/>
      <c r="E41" s="351" t="str">
        <f>IF(ISBLANK(D41),"-",$D$48/$D$45*D41)</f>
        <v>-</v>
      </c>
      <c r="F41" s="350"/>
      <c r="G41" s="352" t="str">
        <f>IF(ISBLANK(F41),"-",$D$48/$F$45*F41)</f>
        <v>-</v>
      </c>
      <c r="K41" s="327"/>
      <c r="L41" s="327"/>
      <c r="M41" s="348"/>
    </row>
    <row r="42" spans="1:13" ht="27" customHeight="1" thickBot="1" x14ac:dyDescent="0.35">
      <c r="A42" s="334" t="s">
        <v>64</v>
      </c>
      <c r="B42" s="335">
        <v>1</v>
      </c>
      <c r="C42" s="317" t="s">
        <v>65</v>
      </c>
      <c r="D42" s="353">
        <f>AVERAGE(D38:D41)</f>
        <v>19719217</v>
      </c>
      <c r="E42" s="354">
        <f>AVERAGE(E38:E41)</f>
        <v>20290697.714356311</v>
      </c>
      <c r="F42" s="355">
        <f>AVERAGE(F38:F41)</f>
        <v>21085721.333333332</v>
      </c>
      <c r="G42" s="356">
        <f>AVERAGE(G38:G41)</f>
        <v>20394423.82748558</v>
      </c>
      <c r="H42" s="357"/>
    </row>
    <row r="43" spans="1:13" ht="26.25" customHeight="1" x14ac:dyDescent="0.3">
      <c r="A43" s="334" t="s">
        <v>66</v>
      </c>
      <c r="B43" s="335">
        <v>1</v>
      </c>
      <c r="C43" s="358" t="s">
        <v>138</v>
      </c>
      <c r="D43" s="359">
        <v>14.25</v>
      </c>
      <c r="E43" s="312"/>
      <c r="F43" s="360">
        <v>15.16</v>
      </c>
      <c r="H43" s="357"/>
    </row>
    <row r="44" spans="1:13" ht="26.25" customHeight="1" x14ac:dyDescent="0.3">
      <c r="A44" s="334" t="s">
        <v>68</v>
      </c>
      <c r="B44" s="335">
        <v>1</v>
      </c>
      <c r="C44" s="361" t="s">
        <v>137</v>
      </c>
      <c r="D44" s="362">
        <f>D43*$B$34</f>
        <v>14.25</v>
      </c>
      <c r="E44" s="344"/>
      <c r="F44" s="363">
        <f>F43*$B$34</f>
        <v>15.16</v>
      </c>
      <c r="H44" s="357"/>
    </row>
    <row r="45" spans="1:13" ht="19.5" customHeight="1" thickBot="1" x14ac:dyDescent="0.35">
      <c r="A45" s="334" t="s">
        <v>70</v>
      </c>
      <c r="B45" s="364">
        <f>(B44/B43)*(B42/B41)*(B40/B39)*(B38/B37)*B36</f>
        <v>250</v>
      </c>
      <c r="C45" s="361" t="s">
        <v>71</v>
      </c>
      <c r="D45" s="365">
        <f>D44*$B$30/100</f>
        <v>14.1645</v>
      </c>
      <c r="E45" s="366"/>
      <c r="F45" s="367">
        <f>F44*$B$30/100</f>
        <v>15.069039999999999</v>
      </c>
      <c r="H45" s="357"/>
    </row>
    <row r="46" spans="1:13" ht="19.5" customHeight="1" thickBot="1" x14ac:dyDescent="0.35">
      <c r="A46" s="597" t="s">
        <v>72</v>
      </c>
      <c r="B46" s="598"/>
      <c r="C46" s="361" t="s">
        <v>73</v>
      </c>
      <c r="D46" s="362">
        <f>D45/$B$45</f>
        <v>5.6658E-2</v>
      </c>
      <c r="E46" s="366"/>
      <c r="F46" s="368">
        <f>F45/$B$45</f>
        <v>6.0276159999999995E-2</v>
      </c>
      <c r="H46" s="357"/>
    </row>
    <row r="47" spans="1:13" ht="27" customHeight="1" thickBot="1" x14ac:dyDescent="0.35">
      <c r="A47" s="599"/>
      <c r="B47" s="600"/>
      <c r="C47" s="369" t="s">
        <v>74</v>
      </c>
      <c r="D47" s="370">
        <v>5.8299999999999998E-2</v>
      </c>
      <c r="F47" s="371"/>
      <c r="H47" s="357"/>
    </row>
    <row r="48" spans="1:13" ht="18.75" x14ac:dyDescent="0.3">
      <c r="C48" s="372" t="s">
        <v>75</v>
      </c>
      <c r="D48" s="365">
        <f>D47*$B$45</f>
        <v>14.574999999999999</v>
      </c>
      <c r="F48" s="371"/>
      <c r="H48" s="357"/>
    </row>
    <row r="49" spans="1:11" ht="19.5" customHeight="1" thickBot="1" x14ac:dyDescent="0.35">
      <c r="C49" s="373" t="s">
        <v>76</v>
      </c>
      <c r="D49" s="374">
        <f>D48/B34</f>
        <v>14.574999999999999</v>
      </c>
      <c r="F49" s="346"/>
      <c r="H49" s="357"/>
    </row>
    <row r="50" spans="1:11" ht="18.75" x14ac:dyDescent="0.3">
      <c r="C50" s="375" t="s">
        <v>77</v>
      </c>
      <c r="D50" s="376">
        <f>AVERAGE(E38:E41,G38:G41)</f>
        <v>20342560.770920947</v>
      </c>
      <c r="F50" s="346"/>
      <c r="H50" s="357"/>
    </row>
    <row r="51" spans="1:11" ht="18.75" x14ac:dyDescent="0.3">
      <c r="C51" s="377" t="s">
        <v>78</v>
      </c>
      <c r="D51" s="378">
        <f>STDEV(E38:E41,G38:G41)/D50</f>
        <v>4.9761990628344561E-3</v>
      </c>
      <c r="F51" s="346"/>
    </row>
    <row r="52" spans="1:11" ht="19.5" customHeight="1" thickBot="1" x14ac:dyDescent="0.35">
      <c r="C52" s="379" t="s">
        <v>15</v>
      </c>
      <c r="D52" s="380">
        <f>COUNT(E38:E41,G38:G41)</f>
        <v>6</v>
      </c>
      <c r="F52" s="346"/>
    </row>
    <row r="54" spans="1:11" ht="18.75" x14ac:dyDescent="0.3">
      <c r="A54" s="381" t="s">
        <v>1</v>
      </c>
      <c r="B54" s="382" t="s">
        <v>79</v>
      </c>
    </row>
    <row r="55" spans="1:11" ht="18.75" x14ac:dyDescent="0.3">
      <c r="A55" s="312" t="s">
        <v>80</v>
      </c>
      <c r="B55" s="383" t="str">
        <f>B21</f>
        <v xml:space="preserve">EACH TABLETS CONTAINS ATAZANAVIR AND RITONAVIR TALETS 300/100 </v>
      </c>
    </row>
    <row r="56" spans="1:11" ht="26.25" customHeight="1" x14ac:dyDescent="0.3">
      <c r="A56" s="383" t="s">
        <v>81</v>
      </c>
      <c r="B56" s="318">
        <v>100</v>
      </c>
      <c r="C56" s="312" t="str">
        <f>B20</f>
        <v>Ritonavir</v>
      </c>
      <c r="H56" s="344"/>
    </row>
    <row r="57" spans="1:11" ht="18.75" x14ac:dyDescent="0.3">
      <c r="A57" s="383" t="s">
        <v>82</v>
      </c>
      <c r="B57" s="384">
        <f>Uniformity!C46</f>
        <v>1977.2315000000003</v>
      </c>
      <c r="H57" s="344"/>
    </row>
    <row r="58" spans="1:11" ht="19.5" customHeight="1" thickBot="1" x14ac:dyDescent="0.35">
      <c r="H58" s="344"/>
    </row>
    <row r="59" spans="1:11" s="322" customFormat="1" ht="27" customHeight="1" thickBot="1" x14ac:dyDescent="0.3">
      <c r="A59" s="332" t="s">
        <v>145</v>
      </c>
      <c r="B59" s="333">
        <v>200</v>
      </c>
      <c r="C59" s="312"/>
      <c r="D59" s="385" t="s">
        <v>84</v>
      </c>
      <c r="E59" s="386" t="s">
        <v>85</v>
      </c>
      <c r="F59" s="386" t="s">
        <v>58</v>
      </c>
      <c r="G59" s="386" t="s">
        <v>86</v>
      </c>
      <c r="H59" s="387" t="s">
        <v>87</v>
      </c>
      <c r="K59" s="321"/>
    </row>
    <row r="60" spans="1:11" s="322" customFormat="1" ht="26.25" customHeight="1" x14ac:dyDescent="0.25">
      <c r="A60" s="334" t="s">
        <v>88</v>
      </c>
      <c r="B60" s="335">
        <v>3</v>
      </c>
      <c r="C60" s="602" t="s">
        <v>89</v>
      </c>
      <c r="D60" s="616">
        <v>1969.22</v>
      </c>
      <c r="E60" s="388">
        <v>1</v>
      </c>
      <c r="F60" s="389">
        <v>20499782</v>
      </c>
      <c r="G60" s="390">
        <f>IF(ISBLANK(F60),"-",(F60/$D$50*$D$47*$B$68)*($B$57/$D$60))</f>
        <v>98.316001556360774</v>
      </c>
      <c r="H60" s="391">
        <f t="shared" ref="H60:H71" si="0">IF(ISBLANK(F60),"-",G60/$B$56)</f>
        <v>0.98316001556360777</v>
      </c>
      <c r="K60" s="321"/>
    </row>
    <row r="61" spans="1:11" s="322" customFormat="1" ht="26.25" customHeight="1" x14ac:dyDescent="0.25">
      <c r="A61" s="334" t="s">
        <v>90</v>
      </c>
      <c r="B61" s="335">
        <v>25</v>
      </c>
      <c r="C61" s="601"/>
      <c r="D61" s="617"/>
      <c r="E61" s="392">
        <v>2</v>
      </c>
      <c r="F61" s="393">
        <v>20451780</v>
      </c>
      <c r="G61" s="394">
        <f>IF(ISBLANK(F61),"-",(F61/$D$50*$D$47*$B$68)*($B$57/$D$60))</f>
        <v>98.085786195694567</v>
      </c>
      <c r="H61" s="395">
        <f t="shared" si="0"/>
        <v>0.98085786195694569</v>
      </c>
      <c r="K61" s="321"/>
    </row>
    <row r="62" spans="1:11" s="322" customFormat="1" ht="26.25" customHeight="1" x14ac:dyDescent="0.25">
      <c r="A62" s="334" t="s">
        <v>91</v>
      </c>
      <c r="B62" s="335">
        <v>1</v>
      </c>
      <c r="C62" s="601"/>
      <c r="D62" s="617"/>
      <c r="E62" s="392">
        <v>3</v>
      </c>
      <c r="F62" s="393">
        <v>20273179</v>
      </c>
      <c r="G62" s="394">
        <f>IF(ISBLANK(F62),"-",(F62/$D$50*$D$47*$B$68)*($B$57/$D$60))</f>
        <v>97.2292241018163</v>
      </c>
      <c r="H62" s="395">
        <f t="shared" si="0"/>
        <v>0.97229224101816303</v>
      </c>
      <c r="K62" s="321"/>
    </row>
    <row r="63" spans="1:11" ht="27" customHeight="1" thickBot="1" x14ac:dyDescent="0.35">
      <c r="A63" s="334" t="s">
        <v>92</v>
      </c>
      <c r="B63" s="335">
        <v>1</v>
      </c>
      <c r="C63" s="622"/>
      <c r="D63" s="618"/>
      <c r="E63" s="396">
        <v>4</v>
      </c>
      <c r="F63" s="397"/>
      <c r="G63" s="394" t="str">
        <f>IF(ISBLANK(F63),"-",(F63/$D$50*$D$47*$B$68)*($B$57/$D$60))</f>
        <v>-</v>
      </c>
      <c r="H63" s="395" t="str">
        <f t="shared" si="0"/>
        <v>-</v>
      </c>
    </row>
    <row r="64" spans="1:11" ht="26.25" customHeight="1" x14ac:dyDescent="0.3">
      <c r="A64" s="334" t="s">
        <v>93</v>
      </c>
      <c r="B64" s="335">
        <v>1</v>
      </c>
      <c r="C64" s="602" t="s">
        <v>94</v>
      </c>
      <c r="D64" s="616">
        <v>1979.52</v>
      </c>
      <c r="E64" s="388">
        <v>1</v>
      </c>
      <c r="F64" s="389">
        <v>20687512</v>
      </c>
      <c r="G64" s="398">
        <f>IF(ISBLANK(F64),"-",(F64/$D$50*$D$47*$B$68)*($B$57/$D$64))</f>
        <v>98.700095322433441</v>
      </c>
      <c r="H64" s="399">
        <f t="shared" si="0"/>
        <v>0.98700095322433445</v>
      </c>
    </row>
    <row r="65" spans="1:8" ht="26.25" customHeight="1" x14ac:dyDescent="0.3">
      <c r="A65" s="334" t="s">
        <v>95</v>
      </c>
      <c r="B65" s="335">
        <v>1</v>
      </c>
      <c r="C65" s="601"/>
      <c r="D65" s="617"/>
      <c r="E65" s="392">
        <v>2</v>
      </c>
      <c r="F65" s="393">
        <v>20594297</v>
      </c>
      <c r="G65" s="400">
        <f>IF(ISBLANK(F65),"-",(F65/$D$50*$D$47*$B$68)*($B$57/$D$64))</f>
        <v>98.255366667509634</v>
      </c>
      <c r="H65" s="401">
        <f t="shared" si="0"/>
        <v>0.98255366667509636</v>
      </c>
    </row>
    <row r="66" spans="1:8" ht="26.25" customHeight="1" x14ac:dyDescent="0.3">
      <c r="A66" s="334" t="s">
        <v>96</v>
      </c>
      <c r="B66" s="335">
        <v>1</v>
      </c>
      <c r="C66" s="601"/>
      <c r="D66" s="617"/>
      <c r="E66" s="392">
        <v>3</v>
      </c>
      <c r="F66" s="393">
        <v>20501599</v>
      </c>
      <c r="G66" s="400">
        <f>IF(ISBLANK(F66),"-",(F66/$D$50*$D$47*$B$68)*($B$57/$D$64))</f>
        <v>97.813104618975302</v>
      </c>
      <c r="H66" s="401">
        <f t="shared" si="0"/>
        <v>0.978131046189753</v>
      </c>
    </row>
    <row r="67" spans="1:8" ht="27" customHeight="1" thickBot="1" x14ac:dyDescent="0.35">
      <c r="A67" s="334" t="s">
        <v>97</v>
      </c>
      <c r="B67" s="335">
        <v>1</v>
      </c>
      <c r="C67" s="622"/>
      <c r="D67" s="618"/>
      <c r="E67" s="396">
        <v>4</v>
      </c>
      <c r="F67" s="397"/>
      <c r="G67" s="402" t="str">
        <f>IF(ISBLANK(F67),"-",(F67/$D$50*$D$47*$B$68)*($B$57/$D$64))</f>
        <v>-</v>
      </c>
      <c r="H67" s="403" t="str">
        <f t="shared" si="0"/>
        <v>-</v>
      </c>
    </row>
    <row r="68" spans="1:8" ht="21.75" customHeight="1" x14ac:dyDescent="0.3">
      <c r="A68" s="334" t="s">
        <v>98</v>
      </c>
      <c r="B68" s="364">
        <f>(B67/B66)*(B65/B64)*(B63/B62)*(B61/B60)*B59</f>
        <v>1666.6666666666667</v>
      </c>
      <c r="C68" s="602" t="s">
        <v>99</v>
      </c>
      <c r="D68" s="616">
        <v>1977.16</v>
      </c>
      <c r="E68" s="388">
        <v>1</v>
      </c>
      <c r="F68" s="389">
        <v>21031635</v>
      </c>
      <c r="G68" s="398">
        <f>IF(ISBLANK(F68),"-",(F68/$D$50*$D$47*$B$68)*($B$57/$D$68))</f>
        <v>100.46167698536635</v>
      </c>
      <c r="H68" s="395">
        <f t="shared" si="0"/>
        <v>1.0046167698536634</v>
      </c>
    </row>
    <row r="69" spans="1:8" ht="21.75" customHeight="1" thickBot="1" x14ac:dyDescent="0.35">
      <c r="A69" s="404" t="s">
        <v>144</v>
      </c>
      <c r="B69" s="405">
        <f>D47*B68/B56*B57</f>
        <v>1921.2099408333336</v>
      </c>
      <c r="C69" s="601"/>
      <c r="D69" s="617"/>
      <c r="E69" s="392">
        <v>2</v>
      </c>
      <c r="F69" s="393">
        <v>20984813</v>
      </c>
      <c r="G69" s="400">
        <f>IF(ISBLANK(F69),"-",(F69/$D$50*$D$47*$B$68)*($B$57/$D$68))</f>
        <v>100.23802263610585</v>
      </c>
      <c r="H69" s="395">
        <f t="shared" si="0"/>
        <v>1.0023802263610586</v>
      </c>
    </row>
    <row r="70" spans="1:8" ht="22.5" customHeight="1" x14ac:dyDescent="0.3">
      <c r="A70" s="597" t="s">
        <v>72</v>
      </c>
      <c r="B70" s="598"/>
      <c r="C70" s="601"/>
      <c r="D70" s="617"/>
      <c r="E70" s="392">
        <v>3</v>
      </c>
      <c r="F70" s="393">
        <v>21050502</v>
      </c>
      <c r="G70" s="400">
        <f>IF(ISBLANK(F70),"-",(F70/$D$50*$D$47*$B$68)*($B$57/$D$68))</f>
        <v>100.55179886413053</v>
      </c>
      <c r="H70" s="395">
        <f t="shared" si="0"/>
        <v>1.0055179886413053</v>
      </c>
    </row>
    <row r="71" spans="1:8" ht="21.75" customHeight="1" thickBot="1" x14ac:dyDescent="0.35">
      <c r="A71" s="599"/>
      <c r="B71" s="600"/>
      <c r="C71" s="615"/>
      <c r="D71" s="618"/>
      <c r="E71" s="396">
        <v>4</v>
      </c>
      <c r="F71" s="397"/>
      <c r="G71" s="402" t="str">
        <f>IF(ISBLANK(F71),"-",(F71/$D$50*$D$47*$B$68)*($B$57/$D$68))</f>
        <v>-</v>
      </c>
      <c r="H71" s="406" t="str">
        <f t="shared" si="0"/>
        <v>-</v>
      </c>
    </row>
    <row r="72" spans="1:8" ht="26.25" customHeight="1" x14ac:dyDescent="0.3">
      <c r="A72" s="344"/>
      <c r="B72" s="344"/>
      <c r="C72" s="344"/>
      <c r="D72" s="344"/>
      <c r="E72" s="344"/>
      <c r="F72" s="344"/>
      <c r="G72" s="407" t="s">
        <v>65</v>
      </c>
      <c r="H72" s="408">
        <f>AVERAGE(H60:H71)</f>
        <v>0.98850119660932512</v>
      </c>
    </row>
    <row r="73" spans="1:8" ht="26.25" customHeight="1" x14ac:dyDescent="0.3">
      <c r="C73" s="344"/>
      <c r="D73" s="344"/>
      <c r="E73" s="344"/>
      <c r="F73" s="344"/>
      <c r="G73" s="377" t="s">
        <v>78</v>
      </c>
      <c r="H73" s="409">
        <f>STDEV(H60:H71)/H72</f>
        <v>1.2578224428077159E-2</v>
      </c>
    </row>
    <row r="74" spans="1:8" ht="27" customHeight="1" thickBot="1" x14ac:dyDescent="0.35">
      <c r="A74" s="344"/>
      <c r="B74" s="344"/>
      <c r="C74" s="344"/>
      <c r="D74" s="344"/>
      <c r="E74" s="366"/>
      <c r="F74" s="344"/>
      <c r="G74" s="379" t="s">
        <v>15</v>
      </c>
      <c r="H74" s="410">
        <f>COUNT(H60:H71)</f>
        <v>9</v>
      </c>
    </row>
    <row r="75" spans="1:8" ht="18.75" x14ac:dyDescent="0.3">
      <c r="A75" s="344"/>
      <c r="B75" s="344"/>
      <c r="C75" s="344"/>
      <c r="D75" s="344"/>
      <c r="E75" s="366"/>
      <c r="F75" s="344"/>
      <c r="G75" s="317"/>
      <c r="H75" s="323"/>
    </row>
    <row r="76" spans="1:8" ht="26.25" customHeight="1" x14ac:dyDescent="0.3">
      <c r="A76" s="316" t="s">
        <v>101</v>
      </c>
      <c r="B76" s="317" t="s">
        <v>143</v>
      </c>
      <c r="C76" s="601" t="str">
        <f>B20</f>
        <v>Ritonavir</v>
      </c>
      <c r="D76" s="601"/>
      <c r="E76" s="312" t="s">
        <v>142</v>
      </c>
      <c r="F76" s="312"/>
      <c r="G76" s="411">
        <f>H72</f>
        <v>0.98850119660932512</v>
      </c>
      <c r="H76" s="323"/>
    </row>
    <row r="77" spans="1:8" ht="18.75" x14ac:dyDescent="0.3">
      <c r="A77" s="315" t="s">
        <v>141</v>
      </c>
      <c r="B77" s="315" t="s">
        <v>140</v>
      </c>
    </row>
    <row r="78" spans="1:8" ht="18.75" x14ac:dyDescent="0.3">
      <c r="A78" s="315"/>
      <c r="B78" s="315"/>
    </row>
    <row r="79" spans="1:8" ht="26.25" customHeight="1" x14ac:dyDescent="0.3">
      <c r="A79" s="316" t="s">
        <v>4</v>
      </c>
      <c r="B79" s="619" t="s">
        <v>117</v>
      </c>
      <c r="C79" s="619"/>
    </row>
    <row r="80" spans="1:8" ht="26.25" customHeight="1" x14ac:dyDescent="0.3">
      <c r="A80" s="317" t="s">
        <v>43</v>
      </c>
      <c r="B80" s="620" t="s">
        <v>118</v>
      </c>
      <c r="C80" s="620"/>
    </row>
    <row r="81" spans="1:11" ht="27" customHeight="1" thickBot="1" x14ac:dyDescent="0.35">
      <c r="A81" s="317" t="s">
        <v>5</v>
      </c>
      <c r="B81" s="318">
        <v>99.4</v>
      </c>
    </row>
    <row r="82" spans="1:11" s="322" customFormat="1" ht="27" customHeight="1" thickBot="1" x14ac:dyDescent="0.3">
      <c r="A82" s="317" t="s">
        <v>44</v>
      </c>
      <c r="B82" s="318">
        <f>B29</f>
        <v>0</v>
      </c>
      <c r="C82" s="603" t="s">
        <v>139</v>
      </c>
      <c r="D82" s="604"/>
      <c r="E82" s="604"/>
      <c r="F82" s="604"/>
      <c r="G82" s="605"/>
      <c r="H82" s="320"/>
      <c r="I82" s="321"/>
      <c r="J82" s="321"/>
      <c r="K82" s="321"/>
    </row>
    <row r="83" spans="1:11" s="322" customFormat="1" ht="19.5" customHeight="1" thickBot="1" x14ac:dyDescent="0.3">
      <c r="A83" s="317" t="s">
        <v>46</v>
      </c>
      <c r="B83" s="323">
        <f>B81-B82</f>
        <v>99.4</v>
      </c>
      <c r="C83" s="324"/>
      <c r="D83" s="324"/>
      <c r="E83" s="324"/>
      <c r="F83" s="324"/>
      <c r="G83" s="325"/>
      <c r="H83" s="320"/>
      <c r="I83" s="321"/>
      <c r="J83" s="321"/>
      <c r="K83" s="321"/>
    </row>
    <row r="84" spans="1:11" s="322" customFormat="1" ht="27" customHeight="1" thickBot="1" x14ac:dyDescent="0.3">
      <c r="A84" s="317" t="s">
        <v>47</v>
      </c>
      <c r="B84" s="326">
        <v>1</v>
      </c>
      <c r="C84" s="606" t="s">
        <v>48</v>
      </c>
      <c r="D84" s="607"/>
      <c r="E84" s="607"/>
      <c r="F84" s="607"/>
      <c r="G84" s="607"/>
      <c r="H84" s="608"/>
      <c r="I84" s="321"/>
      <c r="J84" s="321"/>
      <c r="K84" s="321"/>
    </row>
    <row r="85" spans="1:11" s="322" customFormat="1" ht="27" customHeight="1" thickBot="1" x14ac:dyDescent="0.3">
      <c r="A85" s="317" t="s">
        <v>49</v>
      </c>
      <c r="B85" s="326">
        <v>1</v>
      </c>
      <c r="C85" s="606" t="s">
        <v>50</v>
      </c>
      <c r="D85" s="607"/>
      <c r="E85" s="607"/>
      <c r="F85" s="607"/>
      <c r="G85" s="607"/>
      <c r="H85" s="608"/>
      <c r="I85" s="321"/>
      <c r="J85" s="321"/>
      <c r="K85" s="321"/>
    </row>
    <row r="86" spans="1:11" s="322" customFormat="1" ht="18.75" x14ac:dyDescent="0.25">
      <c r="A86" s="317"/>
      <c r="B86" s="329"/>
      <c r="C86" s="330"/>
      <c r="D86" s="330"/>
      <c r="E86" s="330"/>
      <c r="F86" s="330"/>
      <c r="G86" s="330"/>
      <c r="H86" s="330"/>
      <c r="I86" s="321"/>
      <c r="J86" s="321"/>
      <c r="K86" s="321"/>
    </row>
    <row r="87" spans="1:11" ht="18.75" x14ac:dyDescent="0.3">
      <c r="A87" s="317" t="s">
        <v>51</v>
      </c>
      <c r="B87" s="331">
        <f>B84/B85</f>
        <v>1</v>
      </c>
      <c r="C87" s="312" t="s">
        <v>52</v>
      </c>
      <c r="H87" s="320"/>
    </row>
    <row r="88" spans="1:11" ht="19.5" customHeight="1" thickBot="1" x14ac:dyDescent="0.35">
      <c r="A88" s="317"/>
      <c r="B88" s="331"/>
      <c r="H88" s="320"/>
    </row>
    <row r="89" spans="1:11" ht="27" customHeight="1" thickBot="1" x14ac:dyDescent="0.35">
      <c r="A89" s="332" t="s">
        <v>135</v>
      </c>
      <c r="B89" s="333">
        <v>20</v>
      </c>
      <c r="D89" s="412" t="s">
        <v>54</v>
      </c>
      <c r="E89" s="413"/>
      <c r="F89" s="613" t="s">
        <v>55</v>
      </c>
      <c r="G89" s="614"/>
    </row>
    <row r="90" spans="1:11" ht="26.25" customHeight="1" x14ac:dyDescent="0.3">
      <c r="A90" s="334" t="s">
        <v>56</v>
      </c>
      <c r="B90" s="335">
        <v>4</v>
      </c>
      <c r="C90" s="336" t="s">
        <v>85</v>
      </c>
      <c r="D90" s="414" t="s">
        <v>58</v>
      </c>
      <c r="E90" s="338" t="s">
        <v>59</v>
      </c>
      <c r="F90" s="414" t="s">
        <v>58</v>
      </c>
      <c r="G90" s="339" t="s">
        <v>59</v>
      </c>
    </row>
    <row r="91" spans="1:11" ht="26.25" customHeight="1" x14ac:dyDescent="0.4">
      <c r="A91" s="334" t="s">
        <v>60</v>
      </c>
      <c r="B91" s="335">
        <v>20</v>
      </c>
      <c r="C91" s="340">
        <v>1</v>
      </c>
      <c r="D91" s="415">
        <v>19614688</v>
      </c>
      <c r="E91" s="416">
        <f>IF(ISBLANK(D91),"-",$D$101/$D$98*D91)</f>
        <v>20395955.058516476</v>
      </c>
      <c r="F91" s="415">
        <v>20741243</v>
      </c>
      <c r="G91" s="417">
        <f>IF(ISBLANK(F91),"-",$D$101/$F$98*F91)</f>
        <v>19969797.731744085</v>
      </c>
    </row>
    <row r="92" spans="1:11" ht="26.25" customHeight="1" x14ac:dyDescent="0.4">
      <c r="A92" s="334" t="s">
        <v>61</v>
      </c>
      <c r="B92" s="335">
        <v>1</v>
      </c>
      <c r="C92" s="344">
        <v>2</v>
      </c>
      <c r="D92" s="418">
        <v>19565052</v>
      </c>
      <c r="E92" s="419">
        <f>IF(ISBLANK(D92),"-",$D$101/$D$98*D92)</f>
        <v>20344342.021118965</v>
      </c>
      <c r="F92" s="418">
        <v>20723272</v>
      </c>
      <c r="G92" s="420">
        <f>IF(ISBLANK(F92),"-",$D$101/$F$98*F92)</f>
        <v>19952495.141198419</v>
      </c>
    </row>
    <row r="93" spans="1:11" ht="26.25" customHeight="1" x14ac:dyDescent="0.4">
      <c r="A93" s="334" t="s">
        <v>62</v>
      </c>
      <c r="B93" s="335">
        <v>1</v>
      </c>
      <c r="C93" s="344">
        <v>3</v>
      </c>
      <c r="D93" s="418">
        <v>19492181</v>
      </c>
      <c r="E93" s="419">
        <f>IF(ISBLANK(D93),"-",$D$101/$D$98*D93)</f>
        <v>20268568.517045427</v>
      </c>
      <c r="F93" s="418">
        <v>20809087</v>
      </c>
      <c r="G93" s="420">
        <f>IF(ISBLANK(F93),"-",$D$101/$F$98*F93)</f>
        <v>20035118.356805585</v>
      </c>
    </row>
    <row r="94" spans="1:11" ht="26.25" customHeight="1" x14ac:dyDescent="0.3">
      <c r="A94" s="334" t="s">
        <v>63</v>
      </c>
      <c r="B94" s="335">
        <v>1</v>
      </c>
      <c r="C94" s="349">
        <v>4</v>
      </c>
      <c r="D94" s="421"/>
      <c r="E94" s="422" t="str">
        <f>IF(ISBLANK(D94),"-",$D$101/$D$98*D94)</f>
        <v>-</v>
      </c>
      <c r="F94" s="423"/>
      <c r="G94" s="424" t="str">
        <f>IF(ISBLANK(F94),"-",$D$101/$F$98*F94)</f>
        <v>-</v>
      </c>
    </row>
    <row r="95" spans="1:11" ht="27" customHeight="1" thickBot="1" x14ac:dyDescent="0.35">
      <c r="A95" s="334" t="s">
        <v>64</v>
      </c>
      <c r="B95" s="335">
        <v>1</v>
      </c>
      <c r="C95" s="317" t="s">
        <v>65</v>
      </c>
      <c r="D95" s="353">
        <f>AVERAGE(D91:D94)</f>
        <v>19557307</v>
      </c>
      <c r="E95" s="354">
        <f>AVERAGE(E91:E94)</f>
        <v>20336288.532226954</v>
      </c>
      <c r="F95" s="425">
        <f>AVERAGE(F91:F94)</f>
        <v>20757867.333333332</v>
      </c>
      <c r="G95" s="426">
        <f>AVERAGE(G91:G94)</f>
        <v>19985803.743249364</v>
      </c>
    </row>
    <row r="96" spans="1:11" ht="26.25" customHeight="1" x14ac:dyDescent="0.3">
      <c r="A96" s="334" t="s">
        <v>66</v>
      </c>
      <c r="B96" s="335">
        <v>1</v>
      </c>
      <c r="C96" s="358" t="s">
        <v>138</v>
      </c>
      <c r="D96" s="359">
        <v>10.75</v>
      </c>
      <c r="E96" s="312"/>
      <c r="F96" s="360">
        <v>11.61</v>
      </c>
    </row>
    <row r="97" spans="1:9" ht="26.25" customHeight="1" x14ac:dyDescent="0.3">
      <c r="A97" s="334" t="s">
        <v>68</v>
      </c>
      <c r="B97" s="335">
        <v>1</v>
      </c>
      <c r="C97" s="361" t="s">
        <v>137</v>
      </c>
      <c r="D97" s="362">
        <f>D96*$B$87</f>
        <v>10.75</v>
      </c>
      <c r="E97" s="344"/>
      <c r="F97" s="363">
        <f>F96*$B$87</f>
        <v>11.61</v>
      </c>
    </row>
    <row r="98" spans="1:9" ht="19.5" customHeight="1" thickBot="1" x14ac:dyDescent="0.35">
      <c r="A98" s="404" t="s">
        <v>70</v>
      </c>
      <c r="B98" s="427">
        <f>(B97/B96)*(B95/B94)*(B93/B92)*(B91/B90)*B89</f>
        <v>100</v>
      </c>
      <c r="C98" s="361" t="s">
        <v>71</v>
      </c>
      <c r="D98" s="365">
        <f>D97*$B$83/100</f>
        <v>10.685499999999999</v>
      </c>
      <c r="E98" s="366"/>
      <c r="F98" s="367">
        <f>F97*$B$83/100</f>
        <v>11.54034</v>
      </c>
    </row>
    <row r="99" spans="1:9" ht="19.5" customHeight="1" thickBot="1" x14ac:dyDescent="0.35">
      <c r="A99" s="597" t="s">
        <v>72</v>
      </c>
      <c r="B99" s="598"/>
      <c r="C99" s="361" t="s">
        <v>73</v>
      </c>
      <c r="D99" s="428">
        <f>D98/$B$98</f>
        <v>0.10685499999999999</v>
      </c>
      <c r="E99" s="429"/>
      <c r="F99" s="430">
        <f>F98/$B$98</f>
        <v>0.1154034</v>
      </c>
      <c r="G99" s="431"/>
      <c r="H99" s="357"/>
    </row>
    <row r="100" spans="1:9" ht="19.5" customHeight="1" thickBot="1" x14ac:dyDescent="0.35">
      <c r="A100" s="599"/>
      <c r="B100" s="600"/>
      <c r="C100" s="372" t="s">
        <v>74</v>
      </c>
      <c r="D100" s="432">
        <f>$B$56/$B$116</f>
        <v>0.1111111111111111</v>
      </c>
      <c r="F100" s="371"/>
      <c r="G100" s="433"/>
      <c r="H100" s="357"/>
    </row>
    <row r="101" spans="1:9" ht="18.75" x14ac:dyDescent="0.3">
      <c r="C101" s="372" t="s">
        <v>75</v>
      </c>
      <c r="D101" s="362">
        <f>D100*$B$98</f>
        <v>11.111111111111111</v>
      </c>
      <c r="F101" s="371"/>
      <c r="G101" s="431"/>
      <c r="H101" s="357"/>
    </row>
    <row r="102" spans="1:9" ht="19.5" customHeight="1" thickBot="1" x14ac:dyDescent="0.35">
      <c r="C102" s="373" t="s">
        <v>76</v>
      </c>
      <c r="D102" s="434">
        <f>D101/B34</f>
        <v>11.111111111111111</v>
      </c>
      <c r="F102" s="346"/>
      <c r="G102" s="431"/>
      <c r="H102" s="357"/>
      <c r="I102" s="435"/>
    </row>
    <row r="103" spans="1:9" ht="18.75" x14ac:dyDescent="0.3">
      <c r="C103" s="375" t="s">
        <v>132</v>
      </c>
      <c r="D103" s="376">
        <f>AVERAGE(E91:E94,G91:G94)</f>
        <v>20161046.137738157</v>
      </c>
      <c r="F103" s="346"/>
      <c r="G103" s="433"/>
      <c r="H103" s="357"/>
      <c r="I103" s="436"/>
    </row>
    <row r="104" spans="1:9" ht="18.75" x14ac:dyDescent="0.3">
      <c r="C104" s="377" t="s">
        <v>78</v>
      </c>
      <c r="D104" s="437">
        <f>STDEV(E91:E94,G91:G94)/D103</f>
        <v>9.8271276042200192E-3</v>
      </c>
      <c r="F104" s="346"/>
      <c r="G104" s="431"/>
      <c r="H104" s="357"/>
      <c r="I104" s="436"/>
    </row>
    <row r="105" spans="1:9" ht="19.5" customHeight="1" thickBot="1" x14ac:dyDescent="0.35">
      <c r="C105" s="379" t="s">
        <v>15</v>
      </c>
      <c r="D105" s="438">
        <f>COUNT(E91:E94,G91:G94)</f>
        <v>6</v>
      </c>
      <c r="F105" s="346"/>
      <c r="G105" s="431"/>
      <c r="H105" s="357"/>
      <c r="I105" s="436"/>
    </row>
    <row r="106" spans="1:9" ht="19.5" customHeight="1" thickBot="1" x14ac:dyDescent="0.35">
      <c r="A106" s="381"/>
      <c r="B106" s="381"/>
      <c r="C106" s="381"/>
      <c r="D106" s="381"/>
      <c r="E106" s="381"/>
    </row>
    <row r="107" spans="1:9" ht="26.25" customHeight="1" x14ac:dyDescent="0.3">
      <c r="A107" s="332" t="s">
        <v>106</v>
      </c>
      <c r="B107" s="333">
        <v>900</v>
      </c>
      <c r="C107" s="412" t="s">
        <v>107</v>
      </c>
      <c r="D107" s="439" t="s">
        <v>58</v>
      </c>
      <c r="E107" s="440" t="s">
        <v>108</v>
      </c>
      <c r="F107" s="441" t="s">
        <v>109</v>
      </c>
    </row>
    <row r="108" spans="1:9" ht="26.25" customHeight="1" x14ac:dyDescent="0.4">
      <c r="A108" s="334" t="s">
        <v>88</v>
      </c>
      <c r="B108" s="335">
        <v>1</v>
      </c>
      <c r="C108" s="442">
        <v>1</v>
      </c>
      <c r="D108" s="443">
        <v>15919215</v>
      </c>
      <c r="E108" s="444">
        <f t="shared" ref="E108:E113" si="1">IF(ISBLANK(D108),"-",D108/$D$103*$D$100*$B$116)</f>
        <v>78.960262732606182</v>
      </c>
      <c r="F108" s="445">
        <f t="shared" ref="F108:F113" si="2">IF(ISBLANK(D108), "-", E108/$B$56)</f>
        <v>0.78960262732606179</v>
      </c>
    </row>
    <row r="109" spans="1:9" ht="26.25" customHeight="1" x14ac:dyDescent="0.4">
      <c r="A109" s="334" t="s">
        <v>90</v>
      </c>
      <c r="B109" s="335">
        <v>1</v>
      </c>
      <c r="C109" s="442">
        <v>2</v>
      </c>
      <c r="D109" s="443">
        <v>15878908</v>
      </c>
      <c r="E109" s="446">
        <f t="shared" si="1"/>
        <v>78.760337591199189</v>
      </c>
      <c r="F109" s="447">
        <f t="shared" si="2"/>
        <v>0.78760337591199192</v>
      </c>
    </row>
    <row r="110" spans="1:9" ht="26.25" customHeight="1" x14ac:dyDescent="0.4">
      <c r="A110" s="334" t="s">
        <v>91</v>
      </c>
      <c r="B110" s="335">
        <v>1</v>
      </c>
      <c r="C110" s="442">
        <v>3</v>
      </c>
      <c r="D110" s="443">
        <v>15804845</v>
      </c>
      <c r="E110" s="446">
        <f t="shared" si="1"/>
        <v>78.392980661930693</v>
      </c>
      <c r="F110" s="447">
        <f t="shared" si="2"/>
        <v>0.78392980661930689</v>
      </c>
    </row>
    <row r="111" spans="1:9" ht="26.25" customHeight="1" x14ac:dyDescent="0.4">
      <c r="A111" s="334" t="s">
        <v>92</v>
      </c>
      <c r="B111" s="335">
        <v>1</v>
      </c>
      <c r="C111" s="442">
        <v>4</v>
      </c>
      <c r="D111" s="443">
        <v>15767312</v>
      </c>
      <c r="E111" s="446">
        <f t="shared" si="1"/>
        <v>78.206814727169302</v>
      </c>
      <c r="F111" s="447">
        <f t="shared" si="2"/>
        <v>0.78206814727169305</v>
      </c>
    </row>
    <row r="112" spans="1:9" ht="26.25" customHeight="1" x14ac:dyDescent="0.4">
      <c r="A112" s="334" t="s">
        <v>93</v>
      </c>
      <c r="B112" s="335">
        <v>1</v>
      </c>
      <c r="C112" s="442">
        <v>5</v>
      </c>
      <c r="D112" s="443">
        <v>15881644</v>
      </c>
      <c r="E112" s="446">
        <f t="shared" si="1"/>
        <v>78.773908315561954</v>
      </c>
      <c r="F112" s="447">
        <f t="shared" si="2"/>
        <v>0.78773908315561958</v>
      </c>
    </row>
    <row r="113" spans="1:11" ht="26.25" customHeight="1" x14ac:dyDescent="0.4">
      <c r="A113" s="334" t="s">
        <v>95</v>
      </c>
      <c r="B113" s="335">
        <v>1</v>
      </c>
      <c r="C113" s="448">
        <v>6</v>
      </c>
      <c r="D113" s="449">
        <v>15815661</v>
      </c>
      <c r="E113" s="450">
        <f t="shared" si="1"/>
        <v>78.446628671692224</v>
      </c>
      <c r="F113" s="451">
        <f t="shared" si="2"/>
        <v>0.7844662867169222</v>
      </c>
    </row>
    <row r="114" spans="1:11" ht="26.25" customHeight="1" x14ac:dyDescent="0.3">
      <c r="A114" s="334" t="s">
        <v>96</v>
      </c>
      <c r="B114" s="335">
        <v>1</v>
      </c>
      <c r="C114" s="442"/>
      <c r="D114" s="344"/>
      <c r="E114" s="312"/>
      <c r="F114" s="452"/>
    </row>
    <row r="115" spans="1:11" ht="26.25" customHeight="1" x14ac:dyDescent="0.3">
      <c r="A115" s="334" t="s">
        <v>97</v>
      </c>
      <c r="B115" s="335">
        <v>1</v>
      </c>
      <c r="C115" s="442"/>
      <c r="D115" s="453"/>
      <c r="E115" s="454" t="s">
        <v>65</v>
      </c>
      <c r="F115" s="455">
        <f>AVERAGE(F108:F113)</f>
        <v>0.785901554500266</v>
      </c>
    </row>
    <row r="116" spans="1:11" ht="27" customHeight="1" thickBot="1" x14ac:dyDescent="0.35">
      <c r="A116" s="334" t="s">
        <v>98</v>
      </c>
      <c r="B116" s="364">
        <f>(B115/B114)*(B113/B112)*(B111/B110)*(B109/B108)*B107</f>
        <v>900</v>
      </c>
      <c r="C116" s="456"/>
      <c r="D116" s="457"/>
      <c r="E116" s="317" t="s">
        <v>78</v>
      </c>
      <c r="F116" s="458">
        <f>STDEV(F108:F113)/F115</f>
        <v>3.62645045977072E-3</v>
      </c>
    </row>
    <row r="117" spans="1:11" ht="19.5" customHeight="1" thickBot="1" x14ac:dyDescent="0.35">
      <c r="A117" s="597" t="s">
        <v>72</v>
      </c>
      <c r="B117" s="598"/>
      <c r="C117" s="459"/>
      <c r="D117" s="460"/>
      <c r="E117" s="461" t="s">
        <v>15</v>
      </c>
      <c r="F117" s="462">
        <f>COUNT(F108:F113)</f>
        <v>6</v>
      </c>
      <c r="I117" s="436"/>
    </row>
    <row r="118" spans="1:11" ht="19.5" customHeight="1" thickBot="1" x14ac:dyDescent="0.35">
      <c r="A118" s="599"/>
      <c r="B118" s="600"/>
      <c r="C118" s="312"/>
      <c r="D118" s="312"/>
      <c r="E118" s="312"/>
      <c r="F118" s="344"/>
      <c r="G118" s="312"/>
      <c r="H118" s="312"/>
    </row>
    <row r="119" spans="1:11" ht="18.75" x14ac:dyDescent="0.3">
      <c r="A119" s="330"/>
      <c r="B119" s="330"/>
      <c r="C119" s="312"/>
      <c r="D119" s="312"/>
      <c r="E119" s="312"/>
      <c r="F119" s="344"/>
      <c r="G119" s="312"/>
      <c r="H119" s="312"/>
    </row>
    <row r="120" spans="1:11" ht="18.75" x14ac:dyDescent="0.3">
      <c r="A120" s="463" t="s">
        <v>104</v>
      </c>
      <c r="B120" s="463" t="s">
        <v>136</v>
      </c>
      <c r="C120" s="348"/>
      <c r="D120" s="348"/>
      <c r="E120" s="348"/>
      <c r="F120" s="348"/>
      <c r="G120" s="348"/>
      <c r="H120" s="348"/>
    </row>
    <row r="121" spans="1:11" ht="18.75" x14ac:dyDescent="0.3">
      <c r="A121" s="463"/>
      <c r="B121" s="463"/>
      <c r="C121" s="348"/>
      <c r="D121" s="348"/>
      <c r="E121" s="348"/>
      <c r="F121" s="348"/>
      <c r="G121" s="348"/>
      <c r="H121" s="348"/>
    </row>
    <row r="122" spans="1:11" ht="18.75" x14ac:dyDescent="0.3">
      <c r="A122" s="464" t="s">
        <v>4</v>
      </c>
      <c r="B122" s="465" t="s">
        <v>117</v>
      </c>
      <c r="C122" s="348"/>
      <c r="D122" s="348"/>
      <c r="E122" s="348"/>
      <c r="F122" s="348"/>
      <c r="G122" s="348"/>
      <c r="H122" s="348"/>
    </row>
    <row r="123" spans="1:11" ht="18.75" x14ac:dyDescent="0.3">
      <c r="A123" s="466" t="s">
        <v>43</v>
      </c>
      <c r="B123" s="465" t="s">
        <v>118</v>
      </c>
      <c r="C123" s="348"/>
      <c r="D123" s="348"/>
      <c r="E123" s="348"/>
      <c r="F123" s="348"/>
      <c r="G123" s="348"/>
      <c r="H123" s="348"/>
    </row>
    <row r="124" spans="1:11" ht="19.5" customHeight="1" thickBot="1" x14ac:dyDescent="0.35">
      <c r="A124" s="466" t="s">
        <v>5</v>
      </c>
      <c r="B124" s="318">
        <v>99.4</v>
      </c>
      <c r="C124" s="348"/>
      <c r="D124" s="348"/>
      <c r="E124" s="348"/>
      <c r="F124" s="348"/>
      <c r="G124" s="348"/>
      <c r="H124" s="348"/>
    </row>
    <row r="125" spans="1:11" s="322" customFormat="1" ht="15.75" customHeight="1" thickBot="1" x14ac:dyDescent="0.35">
      <c r="A125" s="466" t="s">
        <v>44</v>
      </c>
      <c r="B125" s="318">
        <f>B72</f>
        <v>0</v>
      </c>
      <c r="C125" s="603" t="s">
        <v>45</v>
      </c>
      <c r="D125" s="604"/>
      <c r="E125" s="604"/>
      <c r="F125" s="604"/>
      <c r="G125" s="605"/>
      <c r="I125" s="321"/>
      <c r="J125" s="321"/>
      <c r="K125" s="321"/>
    </row>
    <row r="126" spans="1:11" s="322" customFormat="1" ht="19.5" customHeight="1" thickBot="1" x14ac:dyDescent="0.35">
      <c r="A126" s="466" t="s">
        <v>46</v>
      </c>
      <c r="B126" s="467">
        <f>B124-B125</f>
        <v>99.4</v>
      </c>
      <c r="C126" s="468"/>
      <c r="D126" s="468"/>
      <c r="E126" s="468"/>
      <c r="F126" s="468"/>
      <c r="G126" s="469"/>
      <c r="I126" s="321"/>
      <c r="J126" s="321"/>
      <c r="K126" s="321"/>
    </row>
    <row r="127" spans="1:11" s="322" customFormat="1" ht="27" customHeight="1" thickBot="1" x14ac:dyDescent="0.3">
      <c r="A127" s="317" t="s">
        <v>47</v>
      </c>
      <c r="B127" s="326">
        <v>1</v>
      </c>
      <c r="C127" s="606" t="s">
        <v>48</v>
      </c>
      <c r="D127" s="607"/>
      <c r="E127" s="607"/>
      <c r="F127" s="607"/>
      <c r="G127" s="607"/>
      <c r="H127" s="608"/>
      <c r="I127" s="321"/>
      <c r="J127" s="321"/>
      <c r="K127" s="321"/>
    </row>
    <row r="128" spans="1:11" s="322" customFormat="1" ht="27" customHeight="1" thickBot="1" x14ac:dyDescent="0.3">
      <c r="A128" s="317" t="s">
        <v>49</v>
      </c>
      <c r="B128" s="326">
        <v>1</v>
      </c>
      <c r="C128" s="606" t="s">
        <v>50</v>
      </c>
      <c r="D128" s="607"/>
      <c r="E128" s="607"/>
      <c r="F128" s="607"/>
      <c r="G128" s="607"/>
      <c r="H128" s="608"/>
      <c r="I128" s="321"/>
      <c r="J128" s="321"/>
      <c r="K128" s="321"/>
    </row>
    <row r="129" spans="1:11" s="322" customFormat="1" ht="18.75" x14ac:dyDescent="0.25">
      <c r="A129" s="317"/>
      <c r="B129" s="329"/>
      <c r="C129" s="330"/>
      <c r="D129" s="330"/>
      <c r="E129" s="330"/>
      <c r="F129" s="330"/>
      <c r="G129" s="330"/>
      <c r="H129" s="330"/>
      <c r="I129" s="321"/>
      <c r="J129" s="321"/>
      <c r="K129" s="321"/>
    </row>
    <row r="130" spans="1:11" ht="18.75" x14ac:dyDescent="0.3">
      <c r="A130" s="317" t="s">
        <v>51</v>
      </c>
      <c r="B130" s="331">
        <f>B127/B128</f>
        <v>1</v>
      </c>
      <c r="C130" s="312" t="s">
        <v>52</v>
      </c>
      <c r="H130" s="320"/>
    </row>
    <row r="131" spans="1:11" ht="19.5" customHeight="1" thickBot="1" x14ac:dyDescent="0.35">
      <c r="A131" s="463"/>
      <c r="B131" s="463"/>
      <c r="C131" s="348"/>
      <c r="D131" s="348"/>
      <c r="E131" s="348"/>
      <c r="F131" s="348"/>
      <c r="G131" s="348"/>
      <c r="H131" s="348"/>
    </row>
    <row r="132" spans="1:11" ht="27" customHeight="1" thickBot="1" x14ac:dyDescent="0.35">
      <c r="A132" s="470" t="s">
        <v>135</v>
      </c>
      <c r="B132" s="471">
        <v>100</v>
      </c>
      <c r="C132" s="348"/>
      <c r="D132" s="609" t="s">
        <v>54</v>
      </c>
      <c r="E132" s="610"/>
      <c r="F132" s="609" t="s">
        <v>55</v>
      </c>
      <c r="G132" s="610"/>
      <c r="H132" s="348"/>
    </row>
    <row r="133" spans="1:11" ht="26.25" customHeight="1" x14ac:dyDescent="0.3">
      <c r="A133" s="472" t="s">
        <v>56</v>
      </c>
      <c r="B133" s="473">
        <v>1</v>
      </c>
      <c r="C133" s="474" t="s">
        <v>57</v>
      </c>
      <c r="D133" s="475" t="s">
        <v>58</v>
      </c>
      <c r="E133" s="476" t="s">
        <v>59</v>
      </c>
      <c r="F133" s="475" t="s">
        <v>58</v>
      </c>
      <c r="G133" s="476" t="s">
        <v>59</v>
      </c>
      <c r="H133" s="348"/>
    </row>
    <row r="134" spans="1:11" ht="26.25" customHeight="1" x14ac:dyDescent="0.4">
      <c r="A134" s="472" t="s">
        <v>60</v>
      </c>
      <c r="B134" s="473">
        <v>1</v>
      </c>
      <c r="C134" s="477">
        <v>1</v>
      </c>
      <c r="D134" s="415">
        <v>24496891</v>
      </c>
      <c r="E134" s="478">
        <f>IF(ISBLANK(D134),"-",$D$144/$D$141*D134)</f>
        <v>26951836.786246788</v>
      </c>
      <c r="F134" s="415">
        <v>27087050</v>
      </c>
      <c r="G134" s="478">
        <f>IF(ISBLANK(F134),"-",$D$144/$F$141*F134)</f>
        <v>27450945.2200257</v>
      </c>
      <c r="H134" s="348"/>
    </row>
    <row r="135" spans="1:11" ht="26.25" customHeight="1" x14ac:dyDescent="0.4">
      <c r="A135" s="472" t="s">
        <v>61</v>
      </c>
      <c r="B135" s="473">
        <v>1</v>
      </c>
      <c r="C135" s="479">
        <v>2</v>
      </c>
      <c r="D135" s="418">
        <v>24544667</v>
      </c>
      <c r="E135" s="480">
        <f>IF(ISBLANK(D135),"-",$D$144/$D$141*D135)</f>
        <v>27004400.638300493</v>
      </c>
      <c r="F135" s="418">
        <v>27053562</v>
      </c>
      <c r="G135" s="480">
        <f>IF(ISBLANK(F135),"-",$D$144/$F$141*F135)</f>
        <v>27417007.332602441</v>
      </c>
      <c r="H135" s="348"/>
    </row>
    <row r="136" spans="1:11" ht="26.25" customHeight="1" x14ac:dyDescent="0.4">
      <c r="A136" s="472" t="s">
        <v>62</v>
      </c>
      <c r="B136" s="473">
        <v>1</v>
      </c>
      <c r="C136" s="479">
        <v>3</v>
      </c>
      <c r="D136" s="418">
        <v>24548978</v>
      </c>
      <c r="E136" s="480">
        <f>IF(ISBLANK(D136),"-",$D$144/$D$141*D136)</f>
        <v>27009143.663380105</v>
      </c>
      <c r="F136" s="418">
        <v>27052437</v>
      </c>
      <c r="G136" s="480">
        <f>IF(ISBLANK(F136),"-",$D$144/$F$141*F136)</f>
        <v>27415867.219028886</v>
      </c>
      <c r="H136" s="348"/>
    </row>
    <row r="137" spans="1:11" ht="26.25" customHeight="1" x14ac:dyDescent="0.3">
      <c r="A137" s="472" t="s">
        <v>63</v>
      </c>
      <c r="B137" s="473">
        <v>1</v>
      </c>
      <c r="C137" s="481">
        <v>4</v>
      </c>
      <c r="D137" s="421"/>
      <c r="E137" s="482" t="str">
        <f>IF(ISBLANK(D137),"-",$D$144/$D$141*D137)</f>
        <v>-</v>
      </c>
      <c r="F137" s="421"/>
      <c r="G137" s="482" t="str">
        <f>IF(ISBLANK(F137),"-",$D$144/$D$141*F137)</f>
        <v>-</v>
      </c>
      <c r="H137" s="348"/>
    </row>
    <row r="138" spans="1:11" ht="27" customHeight="1" thickBot="1" x14ac:dyDescent="0.35">
      <c r="A138" s="472" t="s">
        <v>64</v>
      </c>
      <c r="B138" s="473">
        <v>1</v>
      </c>
      <c r="C138" s="466" t="s">
        <v>65</v>
      </c>
      <c r="D138" s="483">
        <f>AVERAGE(D134:D137)</f>
        <v>24530178.666666668</v>
      </c>
      <c r="E138" s="484">
        <f>AVERAGE(E134:E137)</f>
        <v>26988460.362642463</v>
      </c>
      <c r="F138" s="483">
        <f>AVERAGE(F134:F137)</f>
        <v>27064349.666666668</v>
      </c>
      <c r="G138" s="485">
        <f>AVERAGE(G134:G137)</f>
        <v>27427939.923885677</v>
      </c>
      <c r="H138" s="348"/>
    </row>
    <row r="139" spans="1:11" ht="26.25" customHeight="1" x14ac:dyDescent="0.3">
      <c r="A139" s="472" t="s">
        <v>66</v>
      </c>
      <c r="B139" s="473">
        <v>1</v>
      </c>
      <c r="C139" s="486" t="s">
        <v>67</v>
      </c>
      <c r="D139" s="335">
        <v>10.16</v>
      </c>
      <c r="E139" s="348"/>
      <c r="F139" s="487">
        <v>11.03</v>
      </c>
      <c r="G139" s="348"/>
      <c r="H139" s="348"/>
    </row>
    <row r="140" spans="1:11" ht="26.25" customHeight="1" x14ac:dyDescent="0.3">
      <c r="A140" s="472" t="s">
        <v>68</v>
      </c>
      <c r="B140" s="473">
        <v>1</v>
      </c>
      <c r="C140" s="488" t="s">
        <v>69</v>
      </c>
      <c r="D140" s="489">
        <f>D139*B130</f>
        <v>10.16</v>
      </c>
      <c r="E140" s="479"/>
      <c r="F140" s="490">
        <f>F139*B130</f>
        <v>11.03</v>
      </c>
      <c r="G140" s="348"/>
      <c r="H140" s="348"/>
    </row>
    <row r="141" spans="1:11" ht="19.5" customHeight="1" thickBot="1" x14ac:dyDescent="0.35">
      <c r="A141" s="472" t="s">
        <v>70</v>
      </c>
      <c r="B141" s="491">
        <f>(B140/B139)*(B138/B137)*(B136/B135)*(B134/B133)*B132</f>
        <v>100</v>
      </c>
      <c r="C141" s="488" t="s">
        <v>134</v>
      </c>
      <c r="D141" s="492">
        <f>D140*B126/100</f>
        <v>10.09904</v>
      </c>
      <c r="E141" s="493"/>
      <c r="F141" s="494">
        <f>F140*B126/100</f>
        <v>10.96382</v>
      </c>
      <c r="G141" s="348"/>
      <c r="H141" s="348"/>
    </row>
    <row r="142" spans="1:11" ht="19.5" customHeight="1" thickBot="1" x14ac:dyDescent="0.35">
      <c r="A142" s="597" t="s">
        <v>72</v>
      </c>
      <c r="B142" s="611"/>
      <c r="C142" s="488" t="s">
        <v>133</v>
      </c>
      <c r="D142" s="489">
        <f>D141/$B$141</f>
        <v>0.10099040000000001</v>
      </c>
      <c r="E142" s="493"/>
      <c r="F142" s="495">
        <f>F141/$B$141</f>
        <v>0.10963820000000001</v>
      </c>
      <c r="G142" s="322"/>
      <c r="H142" s="496"/>
    </row>
    <row r="143" spans="1:11" ht="19.5" customHeight="1" thickBot="1" x14ac:dyDescent="0.35">
      <c r="A143" s="599"/>
      <c r="B143" s="612"/>
      <c r="C143" s="488" t="s">
        <v>74</v>
      </c>
      <c r="D143" s="492">
        <f>$B$56/$B$159</f>
        <v>0.1111111111111111</v>
      </c>
      <c r="E143" s="348"/>
      <c r="F143" s="497"/>
      <c r="G143" s="498"/>
      <c r="H143" s="496"/>
    </row>
    <row r="144" spans="1:11" ht="18.75" x14ac:dyDescent="0.3">
      <c r="A144" s="348"/>
      <c r="B144" s="348"/>
      <c r="C144" s="488" t="s">
        <v>75</v>
      </c>
      <c r="D144" s="489">
        <f>D143*$B$141</f>
        <v>11.111111111111111</v>
      </c>
      <c r="E144" s="348"/>
      <c r="F144" s="497"/>
      <c r="G144" s="322"/>
      <c r="H144" s="496"/>
    </row>
    <row r="145" spans="1:9" ht="19.5" customHeight="1" thickBot="1" x14ac:dyDescent="0.35">
      <c r="A145" s="348"/>
      <c r="B145" s="348"/>
      <c r="C145" s="499" t="s">
        <v>76</v>
      </c>
      <c r="D145" s="500">
        <f>D144/B130</f>
        <v>11.111111111111111</v>
      </c>
      <c r="E145" s="348"/>
      <c r="F145" s="501"/>
      <c r="G145" s="322"/>
      <c r="H145" s="496"/>
      <c r="I145" s="435"/>
    </row>
    <row r="146" spans="1:9" ht="18.75" x14ac:dyDescent="0.3">
      <c r="A146" s="348"/>
      <c r="B146" s="348"/>
      <c r="C146" s="502" t="s">
        <v>132</v>
      </c>
      <c r="D146" s="503">
        <f>AVERAGE(E134:E137,G134:G137)</f>
        <v>27208200.14326407</v>
      </c>
      <c r="E146" s="348"/>
      <c r="F146" s="501"/>
      <c r="G146" s="498"/>
      <c r="H146" s="496"/>
      <c r="I146" s="436"/>
    </row>
    <row r="147" spans="1:9" ht="18.75" x14ac:dyDescent="0.3">
      <c r="A147" s="348"/>
      <c r="B147" s="348"/>
      <c r="C147" s="504" t="s">
        <v>78</v>
      </c>
      <c r="D147" s="505">
        <f>STDEV(E134:E137,G134:G137)/D146</f>
        <v>8.8899889537281708E-3</v>
      </c>
      <c r="E147" s="348"/>
      <c r="F147" s="501"/>
      <c r="G147" s="322"/>
      <c r="H147" s="496"/>
      <c r="I147" s="436"/>
    </row>
    <row r="148" spans="1:9" ht="19.5" customHeight="1" thickBot="1" x14ac:dyDescent="0.35">
      <c r="A148" s="348"/>
      <c r="B148" s="348"/>
      <c r="C148" s="506" t="s">
        <v>15</v>
      </c>
      <c r="D148" s="507">
        <f>COUNT(E134:E137,G134:G137)</f>
        <v>6</v>
      </c>
      <c r="E148" s="348"/>
      <c r="F148" s="501"/>
      <c r="G148" s="322"/>
      <c r="H148" s="496"/>
      <c r="I148" s="436"/>
    </row>
    <row r="149" spans="1:9" ht="19.5" customHeight="1" thickBot="1" x14ac:dyDescent="0.35">
      <c r="A149" s="508"/>
      <c r="B149" s="508"/>
      <c r="C149" s="508"/>
      <c r="D149" s="508"/>
      <c r="E149" s="508"/>
      <c r="F149" s="348"/>
      <c r="G149" s="348"/>
      <c r="H149" s="348"/>
    </row>
    <row r="150" spans="1:9" ht="17.25" customHeight="1" x14ac:dyDescent="0.3">
      <c r="A150" s="470" t="s">
        <v>106</v>
      </c>
      <c r="B150" s="471">
        <v>900</v>
      </c>
      <c r="C150" s="509" t="s">
        <v>107</v>
      </c>
      <c r="D150" s="510" t="s">
        <v>58</v>
      </c>
      <c r="E150" s="511" t="s">
        <v>108</v>
      </c>
      <c r="F150" s="512" t="s">
        <v>109</v>
      </c>
      <c r="G150" s="348"/>
      <c r="H150" s="348"/>
    </row>
    <row r="151" spans="1:9" ht="26.25" customHeight="1" x14ac:dyDescent="0.3">
      <c r="A151" s="472" t="s">
        <v>88</v>
      </c>
      <c r="B151" s="473">
        <v>1</v>
      </c>
      <c r="C151" s="513">
        <v>1</v>
      </c>
      <c r="D151" s="514">
        <v>23517770</v>
      </c>
      <c r="E151" s="515">
        <f t="shared" ref="E151:E156" si="3">IF(ISBLANK(D151),"-",D151/$D$146*$D$143*$B$159)</f>
        <v>86.436331238993361</v>
      </c>
      <c r="F151" s="516">
        <f t="shared" ref="F151:F156" si="4">IF(ISBLANK(D151), "-", E151/$B$56)</f>
        <v>0.86436331238993358</v>
      </c>
      <c r="G151" s="348"/>
      <c r="H151" s="348"/>
    </row>
    <row r="152" spans="1:9" ht="26.25" customHeight="1" x14ac:dyDescent="0.3">
      <c r="A152" s="472" t="s">
        <v>90</v>
      </c>
      <c r="B152" s="473">
        <v>1</v>
      </c>
      <c r="C152" s="513">
        <v>2</v>
      </c>
      <c r="D152" s="517">
        <v>18762148</v>
      </c>
      <c r="E152" s="518">
        <f t="shared" si="3"/>
        <v>68.957696213672335</v>
      </c>
      <c r="F152" s="519">
        <f t="shared" si="4"/>
        <v>0.68957696213672337</v>
      </c>
      <c r="G152" s="348"/>
      <c r="H152" s="348"/>
    </row>
    <row r="153" spans="1:9" ht="26.25" customHeight="1" x14ac:dyDescent="0.3">
      <c r="A153" s="472" t="s">
        <v>91</v>
      </c>
      <c r="B153" s="473">
        <v>1</v>
      </c>
      <c r="C153" s="513">
        <v>3</v>
      </c>
      <c r="D153" s="517">
        <v>24338989</v>
      </c>
      <c r="E153" s="518">
        <f t="shared" si="3"/>
        <v>89.454608801183781</v>
      </c>
      <c r="F153" s="519">
        <f t="shared" si="4"/>
        <v>0.89454608801183777</v>
      </c>
      <c r="G153" s="348"/>
      <c r="H153" s="348"/>
    </row>
    <row r="154" spans="1:9" ht="26.25" customHeight="1" x14ac:dyDescent="0.3">
      <c r="A154" s="472" t="s">
        <v>92</v>
      </c>
      <c r="B154" s="473">
        <v>1</v>
      </c>
      <c r="C154" s="513">
        <v>4</v>
      </c>
      <c r="D154" s="517">
        <v>22982791</v>
      </c>
      <c r="E154" s="518">
        <f t="shared" si="3"/>
        <v>84.470089454593506</v>
      </c>
      <c r="F154" s="519">
        <f t="shared" si="4"/>
        <v>0.84470089454593511</v>
      </c>
      <c r="G154" s="348"/>
      <c r="H154" s="348"/>
    </row>
    <row r="155" spans="1:9" ht="26.25" customHeight="1" x14ac:dyDescent="0.3">
      <c r="A155" s="472" t="s">
        <v>93</v>
      </c>
      <c r="B155" s="473">
        <v>1</v>
      </c>
      <c r="C155" s="513">
        <v>5</v>
      </c>
      <c r="D155" s="517">
        <v>23798194</v>
      </c>
      <c r="E155" s="518">
        <f t="shared" si="3"/>
        <v>87.466991108163086</v>
      </c>
      <c r="F155" s="519">
        <f t="shared" si="4"/>
        <v>0.87466991108163084</v>
      </c>
      <c r="G155" s="348"/>
      <c r="H155" s="348"/>
    </row>
    <row r="156" spans="1:9" ht="26.25" customHeight="1" x14ac:dyDescent="0.3">
      <c r="A156" s="472" t="s">
        <v>95</v>
      </c>
      <c r="B156" s="473">
        <v>1</v>
      </c>
      <c r="C156" s="520">
        <v>6</v>
      </c>
      <c r="D156" s="521">
        <v>24357292</v>
      </c>
      <c r="E156" s="522">
        <f t="shared" si="3"/>
        <v>89.521878962030968</v>
      </c>
      <c r="F156" s="523">
        <f t="shared" si="4"/>
        <v>0.89521878962030965</v>
      </c>
      <c r="G156" s="348"/>
      <c r="H156" s="348"/>
    </row>
    <row r="157" spans="1:9" ht="26.25" customHeight="1" x14ac:dyDescent="0.3">
      <c r="A157" s="472" t="s">
        <v>96</v>
      </c>
      <c r="B157" s="473">
        <v>1</v>
      </c>
      <c r="C157" s="513"/>
      <c r="D157" s="479"/>
      <c r="E157" s="348"/>
      <c r="F157" s="524"/>
      <c r="G157" s="348"/>
      <c r="H157" s="348"/>
    </row>
    <row r="158" spans="1:9" ht="26.25" customHeight="1" x14ac:dyDescent="0.4">
      <c r="A158" s="472" t="s">
        <v>97</v>
      </c>
      <c r="B158" s="473">
        <v>1</v>
      </c>
      <c r="C158" s="513"/>
      <c r="D158" s="525"/>
      <c r="E158" s="526" t="s">
        <v>65</v>
      </c>
      <c r="F158" s="527">
        <f>AVERAGE(F151:F156)</f>
        <v>0.843845992964395</v>
      </c>
      <c r="G158" s="348"/>
      <c r="H158" s="348"/>
    </row>
    <row r="159" spans="1:9" ht="27" customHeight="1" thickBot="1" x14ac:dyDescent="0.45">
      <c r="A159" s="472" t="s">
        <v>98</v>
      </c>
      <c r="B159" s="491">
        <f>(B158/B157)*(B156/B155)*(B154/B153)*(B152/B151)*B150</f>
        <v>900</v>
      </c>
      <c r="C159" s="528"/>
      <c r="D159" s="348"/>
      <c r="E159" s="529" t="s">
        <v>78</v>
      </c>
      <c r="F159" s="530">
        <f>STDEV(F151:F156)/F158</f>
        <v>9.2373749051222739E-2</v>
      </c>
      <c r="G159" s="348"/>
      <c r="H159" s="348"/>
    </row>
    <row r="160" spans="1:9" ht="27" customHeight="1" thickBot="1" x14ac:dyDescent="0.45">
      <c r="A160" s="597" t="s">
        <v>72</v>
      </c>
      <c r="B160" s="598"/>
      <c r="C160" s="531"/>
      <c r="D160" s="532"/>
      <c r="E160" s="533" t="s">
        <v>15</v>
      </c>
      <c r="F160" s="534">
        <f>COUNT(F151:F156)</f>
        <v>6</v>
      </c>
      <c r="G160" s="348"/>
      <c r="H160" s="348"/>
      <c r="I160" s="436"/>
    </row>
    <row r="161" spans="1:8" ht="19.5" customHeight="1" thickBot="1" x14ac:dyDescent="0.35">
      <c r="A161" s="599"/>
      <c r="B161" s="600"/>
      <c r="C161" s="348"/>
      <c r="D161" s="348"/>
      <c r="E161" s="348"/>
      <c r="F161" s="479"/>
      <c r="G161" s="348"/>
      <c r="H161" s="348"/>
    </row>
    <row r="162" spans="1:8" ht="18.75" x14ac:dyDescent="0.3">
      <c r="A162" s="330"/>
      <c r="B162" s="330"/>
      <c r="C162" s="348"/>
      <c r="D162" s="348"/>
      <c r="E162" s="348"/>
      <c r="F162" s="479"/>
      <c r="G162" s="348"/>
      <c r="H162" s="348"/>
    </row>
    <row r="163" spans="1:8" ht="18.75" x14ac:dyDescent="0.3">
      <c r="A163" s="463" t="s">
        <v>104</v>
      </c>
      <c r="B163" s="315" t="s">
        <v>131</v>
      </c>
      <c r="C163" s="348"/>
      <c r="D163" s="348"/>
      <c r="E163" s="348"/>
      <c r="F163" s="479"/>
      <c r="G163" s="348"/>
      <c r="H163" s="348"/>
    </row>
    <row r="164" spans="1:8" ht="19.5" customHeight="1" thickBot="1" x14ac:dyDescent="0.35">
      <c r="A164" s="330"/>
      <c r="B164" s="330"/>
      <c r="C164" s="348"/>
      <c r="D164" s="348"/>
      <c r="E164" s="348"/>
      <c r="F164" s="479"/>
      <c r="G164" s="348"/>
      <c r="H164" s="348"/>
    </row>
    <row r="165" spans="1:8" ht="26.25" customHeight="1" x14ac:dyDescent="0.4">
      <c r="A165" s="535" t="s">
        <v>65</v>
      </c>
      <c r="B165" s="536">
        <f>AVERAGE(F108:F113,F151:F156)</f>
        <v>0.81487377373233061</v>
      </c>
      <c r="C165" s="348"/>
      <c r="D165" s="348"/>
      <c r="E165" s="348"/>
      <c r="F165" s="479"/>
      <c r="G165" s="348"/>
      <c r="H165" s="348"/>
    </row>
    <row r="166" spans="1:8" ht="26.25" customHeight="1" x14ac:dyDescent="0.4">
      <c r="A166" s="472" t="s">
        <v>78</v>
      </c>
      <c r="B166" s="537">
        <f>STDEV(F108:F113,F151:F156)/B165</f>
        <v>7.4457250515978637E-2</v>
      </c>
      <c r="C166" s="348"/>
      <c r="D166" s="348"/>
      <c r="E166" s="348"/>
      <c r="F166" s="479"/>
      <c r="G166" s="348"/>
      <c r="H166" s="348"/>
    </row>
    <row r="167" spans="1:8" ht="27" customHeight="1" thickBot="1" x14ac:dyDescent="0.45">
      <c r="A167" s="538" t="s">
        <v>15</v>
      </c>
      <c r="B167" s="539">
        <f>COUNT(F108:F113,F151:F156)</f>
        <v>12</v>
      </c>
      <c r="C167" s="348"/>
      <c r="D167" s="348"/>
      <c r="E167" s="348"/>
      <c r="F167" s="479"/>
      <c r="G167" s="348"/>
      <c r="H167" s="348"/>
    </row>
    <row r="168" spans="1:8" ht="26.25" customHeight="1" x14ac:dyDescent="0.3">
      <c r="A168" s="316" t="s">
        <v>101</v>
      </c>
      <c r="B168" s="317" t="s">
        <v>102</v>
      </c>
      <c r="C168" s="601" t="str">
        <f>B20</f>
        <v>Ritonavir</v>
      </c>
      <c r="D168" s="601"/>
      <c r="E168" s="312" t="s">
        <v>110</v>
      </c>
      <c r="F168" s="312"/>
      <c r="G168" s="411">
        <f>B165</f>
        <v>0.81487377373233061</v>
      </c>
      <c r="H168" s="312"/>
    </row>
    <row r="169" spans="1:8" ht="19.5" customHeight="1" thickBot="1" x14ac:dyDescent="0.35">
      <c r="A169" s="540"/>
      <c r="B169" s="540"/>
      <c r="C169" s="541"/>
      <c r="D169" s="541"/>
      <c r="E169" s="541"/>
      <c r="F169" s="541"/>
      <c r="G169" s="541"/>
      <c r="H169" s="541"/>
    </row>
    <row r="170" spans="1:8" ht="18.75" x14ac:dyDescent="0.3">
      <c r="B170" s="602" t="s">
        <v>21</v>
      </c>
      <c r="C170" s="602"/>
      <c r="E170" s="336" t="s">
        <v>22</v>
      </c>
      <c r="F170" s="542"/>
      <c r="G170" s="602" t="s">
        <v>23</v>
      </c>
      <c r="H170" s="602"/>
    </row>
    <row r="171" spans="1:8" ht="83.25" customHeight="1" x14ac:dyDescent="0.3">
      <c r="A171" s="316" t="s">
        <v>24</v>
      </c>
      <c r="B171" s="543"/>
      <c r="C171" s="543" t="s">
        <v>121</v>
      </c>
      <c r="E171" s="544"/>
      <c r="F171" s="312"/>
      <c r="G171" s="544"/>
      <c r="H171" s="544"/>
    </row>
    <row r="172" spans="1:8" ht="84" customHeight="1" x14ac:dyDescent="0.3">
      <c r="A172" s="316" t="s">
        <v>25</v>
      </c>
      <c r="B172" s="545"/>
      <c r="C172" s="545"/>
      <c r="E172" s="546"/>
      <c r="F172" s="312"/>
      <c r="G172" s="547"/>
      <c r="H172" s="547"/>
    </row>
    <row r="173" spans="1:8" ht="18.75" x14ac:dyDescent="0.3">
      <c r="A173" s="344"/>
      <c r="B173" s="344"/>
      <c r="C173" s="344"/>
      <c r="D173" s="344"/>
      <c r="E173" s="344"/>
      <c r="F173" s="366"/>
      <c r="G173" s="344"/>
      <c r="H173" s="344"/>
    </row>
    <row r="174" spans="1:8" ht="18.75" x14ac:dyDescent="0.3">
      <c r="A174" s="344"/>
      <c r="B174" s="344"/>
      <c r="C174" s="344"/>
      <c r="D174" s="344"/>
      <c r="E174" s="344"/>
      <c r="F174" s="366"/>
      <c r="G174" s="344"/>
      <c r="H174" s="344"/>
    </row>
    <row r="175" spans="1:8" ht="18.75" x14ac:dyDescent="0.3">
      <c r="A175" s="344"/>
      <c r="B175" s="344"/>
      <c r="C175" s="344"/>
      <c r="D175" s="344"/>
      <c r="E175" s="344"/>
      <c r="F175" s="366"/>
      <c r="G175" s="344"/>
      <c r="H175" s="344"/>
    </row>
    <row r="176" spans="1:8" ht="18.75" x14ac:dyDescent="0.3">
      <c r="A176" s="344"/>
      <c r="B176" s="344"/>
      <c r="C176" s="344"/>
      <c r="D176" s="344"/>
      <c r="E176" s="344"/>
      <c r="F176" s="366"/>
      <c r="G176" s="344"/>
      <c r="H176" s="344"/>
    </row>
    <row r="177" spans="1:8" ht="18.75" x14ac:dyDescent="0.3">
      <c r="A177" s="344"/>
      <c r="B177" s="344"/>
      <c r="C177" s="344"/>
      <c r="D177" s="344"/>
      <c r="E177" s="344"/>
      <c r="F177" s="366"/>
      <c r="G177" s="344"/>
      <c r="H177" s="344"/>
    </row>
    <row r="178" spans="1:8" ht="18.75" x14ac:dyDescent="0.3">
      <c r="A178" s="344"/>
      <c r="B178" s="344"/>
      <c r="C178" s="344"/>
      <c r="D178" s="344"/>
      <c r="E178" s="344"/>
      <c r="F178" s="366"/>
      <c r="G178" s="344"/>
      <c r="H178" s="344"/>
    </row>
    <row r="179" spans="1:8" ht="18.75" x14ac:dyDescent="0.3">
      <c r="A179" s="344"/>
      <c r="B179" s="344"/>
      <c r="C179" s="344"/>
      <c r="D179" s="344"/>
      <c r="E179" s="344"/>
      <c r="F179" s="366"/>
      <c r="G179" s="344"/>
      <c r="H179" s="344"/>
    </row>
    <row r="180" spans="1:8" ht="18.75" x14ac:dyDescent="0.3">
      <c r="A180" s="344"/>
      <c r="B180" s="344"/>
      <c r="C180" s="344"/>
      <c r="D180" s="344"/>
      <c r="E180" s="344"/>
      <c r="F180" s="366"/>
      <c r="G180" s="344"/>
      <c r="H180" s="344"/>
    </row>
    <row r="181" spans="1:8" ht="18.75" x14ac:dyDescent="0.3">
      <c r="A181" s="344"/>
      <c r="B181" s="344"/>
      <c r="C181" s="344"/>
      <c r="D181" s="344"/>
      <c r="E181" s="344"/>
      <c r="F181" s="366"/>
      <c r="G181" s="344"/>
      <c r="H181" s="344"/>
    </row>
    <row r="250" spans="1:1" x14ac:dyDescent="0.3">
      <c r="A250" s="307">
        <v>5</v>
      </c>
    </row>
  </sheetData>
  <sheetProtection password="F258" sheet="1" objects="1" scenarios="1" formatCells="0" formatColumns="0" formatRows="0"/>
  <mergeCells count="41">
    <mergeCell ref="B20:C20"/>
    <mergeCell ref="A1:H7"/>
    <mergeCell ref="A8:H14"/>
    <mergeCell ref="A16:H16"/>
    <mergeCell ref="A17:H17"/>
    <mergeCell ref="B18:C18"/>
    <mergeCell ref="C64:C67"/>
    <mergeCell ref="D64:D67"/>
    <mergeCell ref="B21:H21"/>
    <mergeCell ref="B26:C26"/>
    <mergeCell ref="B27:C27"/>
    <mergeCell ref="C29:G29"/>
    <mergeCell ref="C31:H31"/>
    <mergeCell ref="C32:H32"/>
    <mergeCell ref="D36:E36"/>
    <mergeCell ref="F36:G36"/>
    <mergeCell ref="A46:B47"/>
    <mergeCell ref="C60:C63"/>
    <mergeCell ref="D60:D63"/>
    <mergeCell ref="A117:B118"/>
    <mergeCell ref="C68:C71"/>
    <mergeCell ref="D68:D71"/>
    <mergeCell ref="A70:B71"/>
    <mergeCell ref="C76:D76"/>
    <mergeCell ref="B79:C79"/>
    <mergeCell ref="B80:C80"/>
    <mergeCell ref="C82:G82"/>
    <mergeCell ref="C84:H84"/>
    <mergeCell ref="C85:H85"/>
    <mergeCell ref="F89:G89"/>
    <mergeCell ref="A99:B100"/>
    <mergeCell ref="A160:B161"/>
    <mergeCell ref="C168:D168"/>
    <mergeCell ref="B170:C170"/>
    <mergeCell ref="G170:H170"/>
    <mergeCell ref="C125:G125"/>
    <mergeCell ref="C127:H127"/>
    <mergeCell ref="C128:H128"/>
    <mergeCell ref="D132:E132"/>
    <mergeCell ref="F132:G132"/>
    <mergeCell ref="A142:B143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ATAZANAVIR SST</vt:lpstr>
      <vt:lpstr>RITONAVIR SST</vt:lpstr>
      <vt:lpstr>Uniformity</vt:lpstr>
      <vt:lpstr>Atazanavir</vt:lpstr>
      <vt:lpstr>Ritonavir</vt:lpstr>
      <vt:lpstr>RITONAVIR SST (2)</vt:lpstr>
      <vt:lpstr>Ritonavir S2 DISSOLUTION</vt:lpstr>
      <vt:lpstr>Atazanavir!Print_Area</vt:lpstr>
      <vt:lpstr>'ATAZANAVIR SST'!Print_Area</vt:lpstr>
      <vt:lpstr>Ritonavir!Print_Area</vt:lpstr>
      <vt:lpstr>'Ritonavir S2 DISSOLUTION'!Print_Area</vt:lpstr>
      <vt:lpstr>'RITONAVIR SST'!Print_Area</vt:lpstr>
      <vt:lpstr>'RITONAVIR SST (2)'!Print_Area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2017-04-04T10:43:16Z</cp:lastPrinted>
  <dcterms:created xsi:type="dcterms:W3CDTF">2005-07-05T10:19:27Z</dcterms:created>
  <dcterms:modified xsi:type="dcterms:W3CDTF">2017-04-04T10:45:42Z</dcterms:modified>
</cp:coreProperties>
</file>