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March 2017\"/>
    </mc:Choice>
  </mc:AlternateContent>
  <bookViews>
    <workbookView xWindow="390" yWindow="615" windowWidth="20775" windowHeight="10680" activeTab="2"/>
  </bookViews>
  <sheets>
    <sheet name="SST" sheetId="1" r:id="rId1"/>
    <sheet name="Uniformity" sheetId="2" r:id="rId2"/>
    <sheet name="Tenofovir Disoproxil Fumurate" sheetId="3" r:id="rId3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21" i="1" l="1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8" i="3" l="1"/>
  <c r="F99" i="3" s="1"/>
  <c r="D101" i="3"/>
  <c r="D102" i="3" s="1"/>
  <c r="I92" i="3"/>
  <c r="D97" i="3"/>
  <c r="I39" i="3"/>
  <c r="F44" i="3"/>
  <c r="F45" i="3" s="1"/>
  <c r="F46" i="3" s="1"/>
  <c r="D45" i="3"/>
  <c r="D46" i="3" s="1"/>
  <c r="G94" i="3"/>
  <c r="G91" i="3"/>
  <c r="B69" i="3"/>
  <c r="D98" i="3"/>
  <c r="D25" i="2"/>
  <c r="D33" i="2"/>
  <c r="D37" i="2"/>
  <c r="D41" i="2"/>
  <c r="D26" i="2"/>
  <c r="D30" i="2"/>
  <c r="D34" i="2"/>
  <c r="D38" i="2"/>
  <c r="D42" i="2"/>
  <c r="B49" i="2"/>
  <c r="D50" i="2"/>
  <c r="D49" i="3"/>
  <c r="G93" i="3"/>
  <c r="C50" i="2"/>
  <c r="D31" i="2"/>
  <c r="D39" i="2"/>
  <c r="D43" i="2"/>
  <c r="C49" i="2"/>
  <c r="D29" i="2"/>
  <c r="D27" i="2"/>
  <c r="D35" i="2"/>
  <c r="D24" i="2"/>
  <c r="D28" i="2"/>
  <c r="D32" i="2"/>
  <c r="D36" i="2"/>
  <c r="D40" i="2"/>
  <c r="D49" i="2"/>
  <c r="G92" i="3" l="1"/>
  <c r="E92" i="3"/>
  <c r="E94" i="3"/>
  <c r="E91" i="3"/>
  <c r="G39" i="3"/>
  <c r="G40" i="3"/>
  <c r="G41" i="3"/>
  <c r="E39" i="3"/>
  <c r="E38" i="3"/>
  <c r="E41" i="3"/>
  <c r="E40" i="3"/>
  <c r="G38" i="3"/>
  <c r="G95" i="3"/>
  <c r="D99" i="3"/>
  <c r="E93" i="3"/>
  <c r="E95" i="3" l="1"/>
  <c r="D105" i="3"/>
  <c r="G42" i="3"/>
  <c r="E42" i="3"/>
  <c r="D52" i="3"/>
  <c r="D50" i="3"/>
  <c r="D51" i="3" s="1"/>
  <c r="D103" i="3"/>
  <c r="E109" i="3" s="1"/>
  <c r="F109" i="3" s="1"/>
  <c r="E111" i="3" l="1"/>
  <c r="F111" i="3" s="1"/>
  <c r="E113" i="3"/>
  <c r="F113" i="3" s="1"/>
  <c r="E110" i="3"/>
  <c r="F110" i="3" s="1"/>
  <c r="E112" i="3"/>
  <c r="F112" i="3" s="1"/>
  <c r="D104" i="3"/>
  <c r="G63" i="3"/>
  <c r="H63" i="3" s="1"/>
  <c r="G66" i="3"/>
  <c r="H66" i="3" s="1"/>
  <c r="G60" i="3"/>
  <c r="H60" i="3" s="1"/>
  <c r="G65" i="3"/>
  <c r="H65" i="3" s="1"/>
  <c r="G71" i="3"/>
  <c r="H71" i="3" s="1"/>
  <c r="G64" i="3"/>
  <c r="H64" i="3" s="1"/>
  <c r="G67" i="3"/>
  <c r="H67" i="3" s="1"/>
  <c r="G69" i="3"/>
  <c r="H69" i="3" s="1"/>
  <c r="G62" i="3"/>
  <c r="H62" i="3" s="1"/>
  <c r="G68" i="3"/>
  <c r="H68" i="3" s="1"/>
  <c r="G61" i="3"/>
  <c r="H61" i="3" s="1"/>
  <c r="G70" i="3"/>
  <c r="H70" i="3" s="1"/>
  <c r="E108" i="3"/>
  <c r="E119" i="3" l="1"/>
  <c r="E120" i="3"/>
  <c r="E115" i="3"/>
  <c r="E116" i="3" s="1"/>
  <c r="F108" i="3"/>
  <c r="F120" i="3" s="1"/>
  <c r="E117" i="3"/>
  <c r="G72" i="3"/>
  <c r="G73" i="3" s="1"/>
  <c r="G74" i="3"/>
  <c r="H74" i="3"/>
  <c r="H72" i="3"/>
  <c r="F115" i="3" l="1"/>
  <c r="G124" i="3" s="1"/>
  <c r="D125" i="3"/>
  <c r="F117" i="3"/>
  <c r="F125" i="3"/>
  <c r="F119" i="3"/>
  <c r="G76" i="3"/>
  <c r="H73" i="3"/>
  <c r="F116" i="3" l="1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<sst xmlns="http://schemas.openxmlformats.org/spreadsheetml/2006/main" count="239" uniqueCount="134">
  <si>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</si>
  <si>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</si>
  <si>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</si>
  <si>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</si>
  <si>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</si>
  <si>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TENOF TABLETS 300 MG</t>
  </si>
  <si>
    <t>% age Purity:</t>
  </si>
  <si>
    <t>NDQB201702338</t>
  </si>
  <si>
    <t>Weight (mg):</t>
  </si>
  <si>
    <t xml:space="preserve">Tenofovir Disoproxil Fumarate 300 mg </t>
  </si>
  <si>
    <t>Standard Conc (mg/mL):</t>
  </si>
  <si>
    <t>Each film coated tablet contains 300 mg of Tenofovir disproxil fumarate which is equivalent to 245 mg of Tenofovir disproxil</t>
  </si>
  <si>
    <t>2017-02-23 12:31:23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</si>
  <si>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</si>
  <si>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</si>
  <si>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</si>
  <si>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</si>
  <si>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</si>
  <si>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</si>
  <si>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</si>
  <si>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</si>
  <si>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</si>
  <si>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</si>
  <si>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</si>
  <si>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</si>
  <si>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</si>
  <si>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</si>
  <si>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</si>
  <si>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</si>
  <si>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</si>
  <si>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</si>
  <si>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</si>
  <si>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</si>
  <si>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</si>
  <si>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</si>
  <si>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</si>
  <si>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</si>
  <si>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</si>
  <si>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</si>
  <si>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</si>
  <si>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</si>
  <si>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</si>
  <si>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</si>
  <si>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</si>
  <si>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</si>
  <si>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</si>
  <si>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</si>
  <si>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</si>
  <si>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</si>
  <si>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</si>
  <si>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</si>
  <si>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</si>
  <si>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</si>
  <si>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</si>
  <si>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</si>
  <si>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</si>
  <si>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</si>
  <si>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</si>
  <si>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</si>
  <si>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</si>
  <si>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</si>
  <si>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</si>
  <si>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</si>
  <si>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</si>
  <si>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</si>
  <si>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</si>
  <si>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</si>
  <si>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</si>
  <si>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</si>
  <si>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</si>
  <si>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</si>
  <si>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</si>
  <si>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</si>
  <si>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</si>
  <si>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</si>
  <si>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</si>
  <si>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</si>
  <si>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</si>
  <si>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</si>
  <si>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</si>
  <si>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</si>
  <si>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</si>
  <si>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</si>
  <si>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</si>
  <si>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</si>
  <si>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</si>
  <si>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</si>
  <si>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</si>
  <si>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</si>
  <si>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</si>
  <si>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</si>
  <si>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</si>
  <si>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</si>
  <si>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</si>
  <si>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</si>
  <si>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</si>
  <si>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</si>
  <si>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</si>
  <si>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</si>
  <si>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</si>
  <si>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</si>
  <si>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</si>
  <si>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</si>
  <si>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</si>
  <si>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</si>
  <si>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</si>
  <si>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</si>
  <si>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</si>
  <si>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</si>
  <si>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</si>
  <si>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</si>
  <si>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</si>
  <si>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</si>
  <si>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</si>
  <si>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</si>
  <si>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</si>
  <si>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</si>
  <si>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</si>
  <si>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</si>
  <si>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</si>
  <si>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</si>
  <si>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</si>
  <si>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</si>
  <si>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</si>
  <si>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</si>
  <si>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</si>
  <si>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</si>
  <si>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</si>
  <si>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</si>
  <si>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</si>
  <si>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</si>
  <si>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Tenofovir Disoproxil Fumarate </t>
  </si>
  <si>
    <t>Tenofovir Disoproxil Fumurate</t>
  </si>
  <si>
    <t>T11-8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</si>
</sst>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D30" sqref="D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98.8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24.43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B20/50*5/20</f>
        <v>0.12215000000000001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15719293</v>
      </c>
      <c r="C24" s="18">
        <v>3757.9</v>
      </c>
      <c r="D24" s="19">
        <v>1.2</v>
      </c>
      <c r="E24" s="20">
        <v>3.4</v>
      </c>
    </row>
    <row r="25" spans="1:6" ht="16.5" customHeight="1" x14ac:dyDescent="0.3">
      <c r="A25" s="17">
        <v>2</v>
      </c>
      <c r="B25" s="18">
        <v>15753794</v>
      </c>
      <c r="C25" s="18">
        <v>3726</v>
      </c>
      <c r="D25" s="19">
        <v>1.2</v>
      </c>
      <c r="E25" s="19">
        <v>3.4</v>
      </c>
    </row>
    <row r="26" spans="1:6" ht="16.5" customHeight="1" x14ac:dyDescent="0.3">
      <c r="A26" s="17">
        <v>3</v>
      </c>
      <c r="B26" s="18">
        <v>15727516</v>
      </c>
      <c r="C26" s="18">
        <v>3700.3</v>
      </c>
      <c r="D26" s="19">
        <v>1.3</v>
      </c>
      <c r="E26" s="19">
        <v>3.4</v>
      </c>
    </row>
    <row r="27" spans="1:6" ht="16.5" customHeight="1" x14ac:dyDescent="0.3">
      <c r="A27" s="17">
        <v>4</v>
      </c>
      <c r="B27" s="18">
        <v>15747765</v>
      </c>
      <c r="C27" s="18">
        <v>3706</v>
      </c>
      <c r="D27" s="19">
        <v>1.2</v>
      </c>
      <c r="E27" s="19">
        <v>3.4</v>
      </c>
    </row>
    <row r="28" spans="1:6" ht="16.5" customHeight="1" x14ac:dyDescent="0.3">
      <c r="A28" s="17">
        <v>5</v>
      </c>
      <c r="B28" s="18">
        <v>15704062</v>
      </c>
      <c r="C28" s="18">
        <v>3662.1</v>
      </c>
      <c r="D28" s="19">
        <v>1.3</v>
      </c>
      <c r="E28" s="19">
        <v>3.4</v>
      </c>
    </row>
    <row r="29" spans="1:6" ht="16.5" customHeight="1" x14ac:dyDescent="0.3">
      <c r="A29" s="17">
        <v>6</v>
      </c>
      <c r="B29" s="21">
        <v>15752560</v>
      </c>
      <c r="C29" s="21">
        <v>3637.4</v>
      </c>
      <c r="D29" s="22">
        <v>1.3</v>
      </c>
      <c r="E29" s="22">
        <v>3.4</v>
      </c>
    </row>
    <row r="30" spans="1:6" ht="16.5" customHeight="1" x14ac:dyDescent="0.3">
      <c r="A30" s="23" t="s">
        <v>18</v>
      </c>
      <c r="B30" s="24">
        <f>AVERAGE(B24:B29)</f>
        <v>15734165</v>
      </c>
      <c r="C30" s="25">
        <f>AVERAGE(C24:C29)</f>
        <v>3698.2833333333333</v>
      </c>
      <c r="D30" s="26">
        <f>AVERAGE(D24:D29)</f>
        <v>1.25</v>
      </c>
      <c r="E30" s="26">
        <f>AVERAGE(E24:E29)</f>
        <v>3.4</v>
      </c>
    </row>
    <row r="31" spans="1:6" ht="16.5" customHeight="1" x14ac:dyDescent="0.3">
      <c r="A31" s="27" t="s">
        <v>19</v>
      </c>
      <c r="B31" s="28">
        <f>(STDEV(B24:B29)/B30)</f>
        <v>1.29635776361328E-3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0" workbookViewId="0">
      <selection activeCell="F40" sqref="F4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678.42</v>
      </c>
      <c r="D24" s="87">
        <f t="shared" ref="D24:D43" si="0">(C24-$C$46)/$C$46</f>
        <v>-1.4555360993433668E-2</v>
      </c>
      <c r="E24" s="53"/>
    </row>
    <row r="25" spans="1:5" ht="15.75" customHeight="1" x14ac:dyDescent="0.3">
      <c r="C25" s="95">
        <v>674.37</v>
      </c>
      <c r="D25" s="88">
        <f t="shared" si="0"/>
        <v>-2.0438222330034225E-2</v>
      </c>
      <c r="E25" s="53"/>
    </row>
    <row r="26" spans="1:5" ht="15.75" customHeight="1" x14ac:dyDescent="0.3">
      <c r="C26" s="95">
        <v>692.67</v>
      </c>
      <c r="D26" s="88">
        <f t="shared" si="0"/>
        <v>6.143595561272224E-3</v>
      </c>
      <c r="E26" s="53"/>
    </row>
    <row r="27" spans="1:5" ht="15.75" customHeight="1" x14ac:dyDescent="0.3">
      <c r="C27" s="95">
        <v>691.17</v>
      </c>
      <c r="D27" s="88">
        <f t="shared" si="0"/>
        <v>3.9647580291979198E-3</v>
      </c>
      <c r="E27" s="53"/>
    </row>
    <row r="28" spans="1:5" ht="15.75" customHeight="1" x14ac:dyDescent="0.3">
      <c r="C28" s="95">
        <v>683.15</v>
      </c>
      <c r="D28" s="88">
        <f t="shared" si="0"/>
        <v>-7.6847599756260012E-3</v>
      </c>
      <c r="E28" s="53"/>
    </row>
    <row r="29" spans="1:5" ht="15.75" customHeight="1" x14ac:dyDescent="0.3">
      <c r="C29" s="95">
        <v>698.91</v>
      </c>
      <c r="D29" s="88">
        <f t="shared" si="0"/>
        <v>1.5207559694701344E-2</v>
      </c>
      <c r="E29" s="53"/>
    </row>
    <row r="30" spans="1:5" ht="15.75" customHeight="1" x14ac:dyDescent="0.3">
      <c r="C30" s="95">
        <v>695.01</v>
      </c>
      <c r="D30" s="88">
        <f t="shared" si="0"/>
        <v>9.5425821113081857E-3</v>
      </c>
      <c r="E30" s="53"/>
    </row>
    <row r="31" spans="1:5" ht="15.75" customHeight="1" x14ac:dyDescent="0.3">
      <c r="C31" s="95">
        <v>691.4</v>
      </c>
      <c r="D31" s="88">
        <f t="shared" si="0"/>
        <v>4.2988464507826727E-3</v>
      </c>
      <c r="E31" s="53"/>
    </row>
    <row r="32" spans="1:5" ht="15.75" customHeight="1" x14ac:dyDescent="0.3">
      <c r="C32" s="95">
        <v>688.61</v>
      </c>
      <c r="D32" s="88">
        <f t="shared" si="0"/>
        <v>2.4620864112451924E-4</v>
      </c>
      <c r="E32" s="53"/>
    </row>
    <row r="33" spans="1:7" ht="15.75" customHeight="1" x14ac:dyDescent="0.3">
      <c r="C33" s="95">
        <v>680.02</v>
      </c>
      <c r="D33" s="88">
        <f t="shared" si="0"/>
        <v>-1.223126762588771E-2</v>
      </c>
      <c r="E33" s="53"/>
    </row>
    <row r="34" spans="1:7" ht="15.75" customHeight="1" x14ac:dyDescent="0.3">
      <c r="C34" s="95">
        <v>679.34</v>
      </c>
      <c r="D34" s="88">
        <f t="shared" si="0"/>
        <v>-1.3219007307094655E-2</v>
      </c>
      <c r="E34" s="53"/>
    </row>
    <row r="35" spans="1:7" ht="15.75" customHeight="1" x14ac:dyDescent="0.3">
      <c r="C35" s="95">
        <v>687.09</v>
      </c>
      <c r="D35" s="88">
        <f t="shared" si="0"/>
        <v>-1.9616800580440829E-3</v>
      </c>
      <c r="E35" s="53"/>
    </row>
    <row r="36" spans="1:7" ht="15.75" customHeight="1" x14ac:dyDescent="0.3">
      <c r="C36" s="95">
        <v>697.48</v>
      </c>
      <c r="D36" s="88">
        <f t="shared" si="0"/>
        <v>1.3130401247457246E-2</v>
      </c>
      <c r="E36" s="53"/>
    </row>
    <row r="37" spans="1:7" ht="15.75" customHeight="1" x14ac:dyDescent="0.3">
      <c r="C37" s="95">
        <v>685.99</v>
      </c>
      <c r="D37" s="88">
        <f t="shared" si="0"/>
        <v>-3.5594942482319392E-3</v>
      </c>
      <c r="E37" s="53"/>
    </row>
    <row r="38" spans="1:7" ht="15.75" customHeight="1" x14ac:dyDescent="0.3">
      <c r="C38" s="95">
        <v>679.28</v>
      </c>
      <c r="D38" s="88">
        <f t="shared" si="0"/>
        <v>-1.3306160808377713E-2</v>
      </c>
      <c r="E38" s="53"/>
    </row>
    <row r="39" spans="1:7" ht="15.75" customHeight="1" x14ac:dyDescent="0.3">
      <c r="C39" s="95">
        <v>693.82</v>
      </c>
      <c r="D39" s="88">
        <f t="shared" si="0"/>
        <v>7.8140376691959897E-3</v>
      </c>
      <c r="E39" s="53"/>
    </row>
    <row r="40" spans="1:7" ht="15.75" customHeight="1" x14ac:dyDescent="0.3">
      <c r="C40" s="95">
        <v>695.31</v>
      </c>
      <c r="D40" s="88">
        <f t="shared" si="0"/>
        <v>9.9783496177229796E-3</v>
      </c>
      <c r="E40" s="53"/>
    </row>
    <row r="41" spans="1:7" ht="15.75" customHeight="1" x14ac:dyDescent="0.3">
      <c r="C41" s="95">
        <v>702.31</v>
      </c>
      <c r="D41" s="88">
        <f t="shared" si="0"/>
        <v>2.0146258100736399E-2</v>
      </c>
      <c r="E41" s="53"/>
    </row>
    <row r="42" spans="1:7" ht="15.75" customHeight="1" x14ac:dyDescent="0.3">
      <c r="C42" s="95">
        <v>693.16</v>
      </c>
      <c r="D42" s="88">
        <f t="shared" si="0"/>
        <v>6.8553491550831765E-3</v>
      </c>
      <c r="E42" s="53"/>
    </row>
    <row r="43" spans="1:7" ht="16.5" customHeight="1" x14ac:dyDescent="0.3">
      <c r="C43" s="96">
        <v>681.3</v>
      </c>
      <c r="D43" s="89">
        <f t="shared" si="0"/>
        <v>-1.037199293185101E-2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13768.809999999998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688.44049999999993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688.44049999999993</v>
      </c>
      <c r="C49" s="93">
        <f>-IF(C46&lt;=80,10%,IF(C46&lt;250,7.5%,5%))</f>
        <v>-0.05</v>
      </c>
      <c r="D49" s="81">
        <f>IF(C46&lt;=80,C46*0.9,IF(C46&lt;250,C46*0.925,C46*0.95))</f>
        <v>654.01847499999985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722.86252500000001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" zoomScale="85" zoomScaleNormal="40" zoomScalePageLayoutView="85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6" t="s">
        <v>45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46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">
      <c r="A15" s="98"/>
    </row>
    <row r="16" spans="1:9" ht="19.5" customHeight="1" x14ac:dyDescent="0.3">
      <c r="A16" s="329" t="s">
        <v>31</v>
      </c>
      <c r="B16" s="330"/>
      <c r="C16" s="330"/>
      <c r="D16" s="330"/>
      <c r="E16" s="330"/>
      <c r="F16" s="330"/>
      <c r="G16" s="330"/>
      <c r="H16" s="331"/>
    </row>
    <row r="17" spans="1:14" ht="20.25" customHeight="1" x14ac:dyDescent="0.25">
      <c r="A17" s="332" t="s">
        <v>47</v>
      </c>
      <c r="B17" s="332"/>
      <c r="C17" s="332"/>
      <c r="D17" s="332"/>
      <c r="E17" s="332"/>
      <c r="F17" s="332"/>
      <c r="G17" s="332"/>
      <c r="H17" s="332"/>
    </row>
    <row r="18" spans="1:14" ht="26.25" customHeight="1" x14ac:dyDescent="0.4">
      <c r="A18" s="100" t="s">
        <v>33</v>
      </c>
      <c r="B18" s="328" t="s">
        <v>5</v>
      </c>
      <c r="C18" s="32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3" t="s">
        <v>9</v>
      </c>
      <c r="C20" s="33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3" t="s">
        <v>11</v>
      </c>
      <c r="C21" s="333"/>
      <c r="D21" s="333"/>
      <c r="E21" s="333"/>
      <c r="F21" s="333"/>
      <c r="G21" s="333"/>
      <c r="H21" s="33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42810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8" t="s">
        <v>132</v>
      </c>
      <c r="C26" s="328"/>
    </row>
    <row r="27" spans="1:14" ht="26.25" customHeight="1" x14ac:dyDescent="0.4">
      <c r="A27" s="109" t="s">
        <v>48</v>
      </c>
      <c r="B27" s="334" t="s">
        <v>133</v>
      </c>
      <c r="C27" s="334"/>
    </row>
    <row r="28" spans="1:14" ht="27" customHeight="1" x14ac:dyDescent="0.4">
      <c r="A28" s="109" t="s">
        <v>6</v>
      </c>
      <c r="B28" s="110">
        <v>98.8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0" t="s">
        <v>59</v>
      </c>
      <c r="E36" s="335"/>
      <c r="F36" s="310" t="s">
        <v>60</v>
      </c>
      <c r="G36" s="31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15764598</v>
      </c>
      <c r="E38" s="133">
        <f>IF(ISBLANK(D38),"-",$D$48/$D$45*D38)</f>
        <v>16328357.39889729</v>
      </c>
      <c r="F38" s="132">
        <v>14657557</v>
      </c>
      <c r="G38" s="134">
        <f>IF(ISBLANK(F38),"-",$D$48/$F$45*F38)</f>
        <v>16550182.963071357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15742552</v>
      </c>
      <c r="E39" s="138">
        <f>IF(ISBLANK(D39),"-",$D$48/$D$45*D39)</f>
        <v>16305523.009640038</v>
      </c>
      <c r="F39" s="137">
        <v>14708157</v>
      </c>
      <c r="G39" s="139">
        <f>IF(ISBLANK(F39),"-",$D$48/$F$45*F39)</f>
        <v>16607316.580762997</v>
      </c>
      <c r="I39" s="312">
        <f>ABS((F43/D43*D42)-F42)/D42</f>
        <v>1.4771219069185534E-2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15779710</v>
      </c>
      <c r="E40" s="138">
        <f>IF(ISBLANK(D40),"-",$D$48/$D$45*D40)</f>
        <v>16344009.820672467</v>
      </c>
      <c r="F40" s="137">
        <v>14709706</v>
      </c>
      <c r="G40" s="139">
        <f>IF(ISBLANK(F40),"-",$D$48/$F$45*F40)</f>
        <v>16609065.592103004</v>
      </c>
      <c r="I40" s="31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15762286.666666666</v>
      </c>
      <c r="E42" s="148">
        <f>AVERAGE(E38:E41)</f>
        <v>16325963.409736598</v>
      </c>
      <c r="F42" s="147">
        <f>AVERAGE(F38:F41)</f>
        <v>14691806.666666666</v>
      </c>
      <c r="G42" s="149">
        <f>AVERAGE(G38:G41)</f>
        <v>16588855.045312455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24.43</v>
      </c>
      <c r="E43" s="140"/>
      <c r="F43" s="152">
        <v>22.41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24.43</v>
      </c>
      <c r="E44" s="155"/>
      <c r="F44" s="154">
        <f>F43*$B$34</f>
        <v>22.41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200</v>
      </c>
      <c r="C45" s="153" t="s">
        <v>77</v>
      </c>
      <c r="D45" s="157">
        <f>D44*$B$30/100</f>
        <v>24.136839999999996</v>
      </c>
      <c r="E45" s="158"/>
      <c r="F45" s="157">
        <f>F44*$B$30/100</f>
        <v>22.141080000000002</v>
      </c>
      <c r="H45" s="150"/>
    </row>
    <row r="46" spans="1:14" ht="19.5" customHeight="1" x14ac:dyDescent="0.3">
      <c r="A46" s="298" t="s">
        <v>78</v>
      </c>
      <c r="B46" s="299"/>
      <c r="C46" s="153" t="s">
        <v>79</v>
      </c>
      <c r="D46" s="159">
        <f>D45/$B$45</f>
        <v>0.12068419999999998</v>
      </c>
      <c r="E46" s="160"/>
      <c r="F46" s="161">
        <f>F45/$B$45</f>
        <v>0.11070540000000001</v>
      </c>
      <c r="H46" s="150"/>
    </row>
    <row r="47" spans="1:14" ht="27" customHeight="1" x14ac:dyDescent="0.4">
      <c r="A47" s="300"/>
      <c r="B47" s="301"/>
      <c r="C47" s="162" t="s">
        <v>80</v>
      </c>
      <c r="D47" s="163">
        <v>0.125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16457409.227524526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8.8747985982527144E-3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 300 mg of Tenofovir disproxil fumarate which is equivalent to 245 mg of Tenofovir disproxil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 xml:space="preserve">Tenofovir Disoproxil Fumarate 300 mg </v>
      </c>
      <c r="H56" s="179"/>
    </row>
    <row r="57" spans="1:12" ht="18.75" x14ac:dyDescent="0.3">
      <c r="A57" s="176" t="s">
        <v>88</v>
      </c>
      <c r="B57" s="247">
        <f>Uniformity!C46</f>
        <v>688.44049999999993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5" t="s">
        <v>94</v>
      </c>
      <c r="D60" s="318">
        <v>698.97</v>
      </c>
      <c r="E60" s="182">
        <v>1</v>
      </c>
      <c r="F60" s="183"/>
      <c r="G60" s="248" t="str">
        <f>IF(ISBLANK(F60),"-",(F60/$D$50*$D$47*$B$68)*($B$57/$D$60))</f>
        <v>-</v>
      </c>
      <c r="H60" s="266" t="str">
        <f t="shared" ref="H60:H71" si="0">IF(ISBLANK(F60),"-",(G60/$B$56)*100)</f>
        <v>-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6"/>
      <c r="D61" s="319"/>
      <c r="E61" s="184">
        <v>2</v>
      </c>
      <c r="F61" s="137"/>
      <c r="G61" s="249" t="str">
        <f>IF(ISBLANK(F61),"-",(F61/$D$50*$D$47*$B$68)*($B$57/$D$60))</f>
        <v>-</v>
      </c>
      <c r="H61" s="267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6"/>
      <c r="D62" s="319"/>
      <c r="E62" s="184">
        <v>3</v>
      </c>
      <c r="F62" s="185"/>
      <c r="G62" s="249" t="str">
        <f>IF(ISBLANK(F62),"-",(F62/$D$50*$D$47*$B$68)*($B$57/$D$60))</f>
        <v>-</v>
      </c>
      <c r="H62" s="267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325"/>
      <c r="D63" s="32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5" t="s">
        <v>99</v>
      </c>
      <c r="D64" s="318">
        <v>679.36</v>
      </c>
      <c r="E64" s="182">
        <v>1</v>
      </c>
      <c r="F64" s="183">
        <v>15490185</v>
      </c>
      <c r="G64" s="248">
        <f>IF(ISBLANK(F64),"-",(F64/$D$50*$D$47*$B$68)*($B$57/$D$64))</f>
        <v>298.06542163939389</v>
      </c>
      <c r="H64" s="266">
        <f t="shared" si="0"/>
        <v>99.355140546464625</v>
      </c>
    </row>
    <row r="65" spans="1:8" ht="26.25" customHeight="1" x14ac:dyDescent="0.4">
      <c r="A65" s="124" t="s">
        <v>100</v>
      </c>
      <c r="B65" s="125">
        <v>1</v>
      </c>
      <c r="C65" s="316"/>
      <c r="D65" s="319"/>
      <c r="E65" s="184">
        <v>2</v>
      </c>
      <c r="F65" s="137">
        <v>15596154</v>
      </c>
      <c r="G65" s="249">
        <f>IF(ISBLANK(F65),"-",(F65/$D$50*$D$47*$B$68)*($B$57/$D$64))</f>
        <v>300.104499588799</v>
      </c>
      <c r="H65" s="267">
        <f t="shared" si="0"/>
        <v>100.03483319626633</v>
      </c>
    </row>
    <row r="66" spans="1:8" ht="26.25" customHeight="1" x14ac:dyDescent="0.4">
      <c r="A66" s="124" t="s">
        <v>101</v>
      </c>
      <c r="B66" s="125">
        <v>1</v>
      </c>
      <c r="C66" s="316"/>
      <c r="D66" s="319"/>
      <c r="E66" s="184">
        <v>3</v>
      </c>
      <c r="F66" s="137">
        <v>15621329</v>
      </c>
      <c r="G66" s="249">
        <f>IF(ISBLANK(F66),"-",(F66/$D$50*$D$47*$B$68)*($B$57/$D$64))</f>
        <v>300.58892227256757</v>
      </c>
      <c r="H66" s="267">
        <f t="shared" si="0"/>
        <v>100.19630742418919</v>
      </c>
    </row>
    <row r="67" spans="1:8" ht="27" customHeight="1" x14ac:dyDescent="0.4">
      <c r="A67" s="124" t="s">
        <v>102</v>
      </c>
      <c r="B67" s="125">
        <v>1</v>
      </c>
      <c r="C67" s="325"/>
      <c r="D67" s="32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15" t="s">
        <v>104</v>
      </c>
      <c r="D68" s="318">
        <v>680.07</v>
      </c>
      <c r="E68" s="182">
        <v>1</v>
      </c>
      <c r="F68" s="183">
        <v>15643972</v>
      </c>
      <c r="G68" s="248">
        <f>IF(ISBLANK(F68),"-",(F68/$D$50*$D$47*$B$68)*($B$57/$D$68))</f>
        <v>300.71035090571661</v>
      </c>
      <c r="H68" s="267">
        <f t="shared" si="0"/>
        <v>100.23678363523887</v>
      </c>
    </row>
    <row r="69" spans="1:8" ht="27" customHeight="1" x14ac:dyDescent="0.4">
      <c r="A69" s="172" t="s">
        <v>105</v>
      </c>
      <c r="B69" s="189">
        <f>(D47*B68)/B56*B57</f>
        <v>717.12552083333333</v>
      </c>
      <c r="C69" s="316"/>
      <c r="D69" s="319"/>
      <c r="E69" s="184">
        <v>2</v>
      </c>
      <c r="F69" s="137">
        <v>15718681</v>
      </c>
      <c r="G69" s="249">
        <f>IF(ISBLANK(F69),"-",(F69/$D$50*$D$47*$B$68)*($B$57/$D$68))</f>
        <v>302.14641647818212</v>
      </c>
      <c r="H69" s="267">
        <f t="shared" si="0"/>
        <v>100.71547215939405</v>
      </c>
    </row>
    <row r="70" spans="1:8" ht="26.25" customHeight="1" x14ac:dyDescent="0.4">
      <c r="A70" s="321" t="s">
        <v>78</v>
      </c>
      <c r="B70" s="322"/>
      <c r="C70" s="316"/>
      <c r="D70" s="319"/>
      <c r="E70" s="184">
        <v>3</v>
      </c>
      <c r="F70" s="137">
        <v>15734658</v>
      </c>
      <c r="G70" s="249">
        <f>IF(ISBLANK(F70),"-",(F70/$D$50*$D$47*$B$68)*($B$57/$D$68))</f>
        <v>302.4535283342006</v>
      </c>
      <c r="H70" s="267">
        <f t="shared" si="0"/>
        <v>100.81784277806688</v>
      </c>
    </row>
    <row r="71" spans="1:8" ht="27" customHeight="1" x14ac:dyDescent="0.4">
      <c r="A71" s="323"/>
      <c r="B71" s="324"/>
      <c r="C71" s="317"/>
      <c r="D71" s="32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300.67818986980996</v>
      </c>
      <c r="H72" s="269">
        <f>AVERAGE(H60:H71)</f>
        <v>100.22606328993665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5.2527237291861541E-3</v>
      </c>
      <c r="H73" s="253">
        <f>STDEV(H60:H71)/H72</f>
        <v>5.2527237291862183E-3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302" t="str">
        <f>B26</f>
        <v>Tenofovir Disoproxil Fumurate</v>
      </c>
      <c r="D76" s="302"/>
      <c r="E76" s="198" t="s">
        <v>108</v>
      </c>
      <c r="F76" s="198"/>
      <c r="G76" s="282">
        <f>H72</f>
        <v>100.22606328993665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6" t="str">
        <f>B26</f>
        <v>Tenofovir Disoproxil Fumurate</v>
      </c>
      <c r="C79" s="336"/>
    </row>
    <row r="80" spans="1:8" ht="26.25" customHeight="1" x14ac:dyDescent="0.4">
      <c r="A80" s="109" t="s">
        <v>48</v>
      </c>
      <c r="B80" s="336" t="str">
        <f>B27</f>
        <v>T11-8</v>
      </c>
      <c r="C80" s="336"/>
    </row>
    <row r="81" spans="1:12" ht="27" customHeight="1" x14ac:dyDescent="0.4">
      <c r="A81" s="109" t="s">
        <v>6</v>
      </c>
      <c r="B81" s="201">
        <f>B28</f>
        <v>98.8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10" t="s">
        <v>60</v>
      </c>
      <c r="G89" s="311"/>
    </row>
    <row r="90" spans="1:12" ht="27" customHeight="1" x14ac:dyDescent="0.4">
      <c r="A90" s="124" t="s">
        <v>61</v>
      </c>
      <c r="B90" s="125">
        <v>10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0.56399999999999995</v>
      </c>
      <c r="E91" s="133">
        <f>IF(ISBLANK(D91),"-",$D$101/$D$98*D91)</f>
        <v>0.61357001470283468</v>
      </c>
      <c r="F91" s="132">
        <v>0.55600000000000005</v>
      </c>
      <c r="G91" s="134">
        <f>IF(ISBLANK(F91),"-",$D$101/$F$98*F91)</f>
        <v>0.61102392664196215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0.56699999999999995</v>
      </c>
      <c r="E92" s="138">
        <f>IF(ISBLANK(D92),"-",$D$101/$D$98*D92)</f>
        <v>0.61683368499380731</v>
      </c>
      <c r="F92" s="137">
        <v>0.55500000000000005</v>
      </c>
      <c r="G92" s="139">
        <f>IF(ISBLANK(F92),"-",$D$101/$F$98*F92)</f>
        <v>0.60992496274512409</v>
      </c>
      <c r="I92" s="312">
        <f>ABS((F96/D96*D95)-F95)/D95</f>
        <v>7.6434416033201473E-3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0.56200000000000006</v>
      </c>
      <c r="E93" s="138">
        <f>IF(ISBLANK(D93),"-",$D$101/$D$98*D93)</f>
        <v>0.61139423450885322</v>
      </c>
      <c r="F93" s="137">
        <v>0.55200000000000005</v>
      </c>
      <c r="G93" s="139">
        <f>IF(ISBLANK(F93),"-",$D$101/$F$98*F93)</f>
        <v>0.60662807105460992</v>
      </c>
      <c r="I93" s="312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0.56433333333333324</v>
      </c>
      <c r="E95" s="148">
        <f>AVERAGE(E91:E94)</f>
        <v>0.61393264473516507</v>
      </c>
      <c r="F95" s="211">
        <f>AVERAGE(F91:F94)</f>
        <v>0.55433333333333346</v>
      </c>
      <c r="G95" s="212">
        <f>AVERAGE(G91:G94)</f>
        <v>0.60919232014723201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24.81</v>
      </c>
      <c r="E96" s="140"/>
      <c r="F96" s="152">
        <v>24.56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24.81</v>
      </c>
      <c r="E97" s="155"/>
      <c r="F97" s="154">
        <f>F96*$B$87</f>
        <v>24.56</v>
      </c>
    </row>
    <row r="98" spans="1:10" ht="19.5" customHeight="1" x14ac:dyDescent="0.3">
      <c r="A98" s="124" t="s">
        <v>76</v>
      </c>
      <c r="B98" s="217">
        <f>(B97/B96)*(B95/B94)*(B93/B92)*(B91/B90)*B89</f>
        <v>1000</v>
      </c>
      <c r="C98" s="215" t="s">
        <v>115</v>
      </c>
      <c r="D98" s="218">
        <f>D97*$B$83/100</f>
        <v>24.512279999999997</v>
      </c>
      <c r="E98" s="158"/>
      <c r="F98" s="157">
        <f>F97*$B$83/100</f>
        <v>24.265279999999997</v>
      </c>
    </row>
    <row r="99" spans="1:10" ht="19.5" customHeight="1" x14ac:dyDescent="0.3">
      <c r="A99" s="298" t="s">
        <v>78</v>
      </c>
      <c r="B99" s="313"/>
      <c r="C99" s="215" t="s">
        <v>116</v>
      </c>
      <c r="D99" s="219">
        <f>D98/$B$98</f>
        <v>2.4512279999999997E-2</v>
      </c>
      <c r="E99" s="158"/>
      <c r="F99" s="161">
        <f>F98/$B$98</f>
        <v>2.4265279999999997E-2</v>
      </c>
      <c r="G99" s="220"/>
      <c r="H99" s="150"/>
    </row>
    <row r="100" spans="1:10" ht="19.5" customHeight="1" x14ac:dyDescent="0.3">
      <c r="A100" s="300"/>
      <c r="B100" s="314"/>
      <c r="C100" s="215" t="s">
        <v>80</v>
      </c>
      <c r="D100" s="221">
        <f>$B$56/$B$116</f>
        <v>2.6666666666666668E-2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26.666666666666668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26.666666666666668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0.6115624824411986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5.6247460714528843E-3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4</v>
      </c>
      <c r="C108" s="273">
        <v>1</v>
      </c>
      <c r="D108" s="283">
        <v>0.55300000000000005</v>
      </c>
      <c r="E108" s="250">
        <f t="shared" ref="E108:E113" si="1">IF(ISBLANK(D108),"-",D108/$D$103*$D$100*$B$116)</f>
        <v>271.27236343500067</v>
      </c>
      <c r="F108" s="274">
        <f t="shared" ref="F108:F113" si="2">IF(ISBLANK(D108), "-", (E108/$B$56)*100)</f>
        <v>90.424121145000228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84">
        <v>0.52800000000000002</v>
      </c>
      <c r="E109" s="251">
        <f t="shared" si="1"/>
        <v>259.00869420195357</v>
      </c>
      <c r="F109" s="275">
        <f t="shared" si="2"/>
        <v>86.336231400651187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4">
        <v>0.54800000000000004</v>
      </c>
      <c r="E110" s="251">
        <f t="shared" si="1"/>
        <v>268.81962958839119</v>
      </c>
      <c r="F110" s="275">
        <f t="shared" si="2"/>
        <v>89.606543196130389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4">
        <v>0.55300000000000005</v>
      </c>
      <c r="E111" s="251">
        <f t="shared" si="1"/>
        <v>271.27236343500067</v>
      </c>
      <c r="F111" s="275">
        <f t="shared" si="2"/>
        <v>90.424121145000228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4">
        <v>0.55100000000000005</v>
      </c>
      <c r="E112" s="251">
        <f t="shared" si="1"/>
        <v>270.29126989635688</v>
      </c>
      <c r="F112" s="275">
        <f t="shared" si="2"/>
        <v>90.097089965452298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0.54800000000000004</v>
      </c>
      <c r="E113" s="252">
        <f t="shared" si="1"/>
        <v>268.81962958839119</v>
      </c>
      <c r="F113" s="276">
        <f t="shared" si="2"/>
        <v>89.606543196130389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268.24732502418237</v>
      </c>
      <c r="F115" s="278">
        <f>AVERAGE(F108:F113)</f>
        <v>89.415775008060791</v>
      </c>
    </row>
    <row r="116" spans="1:10" ht="27" customHeight="1" x14ac:dyDescent="0.4">
      <c r="A116" s="124" t="s">
        <v>103</v>
      </c>
      <c r="B116" s="156">
        <f>(B115/B114)*(B113/B112)*(B111/B110)*(B109/B108)*B107</f>
        <v>11250</v>
      </c>
      <c r="C116" s="234"/>
      <c r="D116" s="258" t="s">
        <v>84</v>
      </c>
      <c r="E116" s="256">
        <f>STDEV(E108:E113)/E115</f>
        <v>1.736472969612211E-2</v>
      </c>
      <c r="F116" s="235">
        <f>STDEV(F108:F113)/F115</f>
        <v>1.7364729696122141E-2</v>
      </c>
      <c r="I116" s="98"/>
    </row>
    <row r="117" spans="1:10" ht="27" customHeight="1" x14ac:dyDescent="0.4">
      <c r="A117" s="298" t="s">
        <v>78</v>
      </c>
      <c r="B117" s="29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00"/>
      <c r="B118" s="301"/>
      <c r="C118" s="98"/>
      <c r="D118" s="260"/>
      <c r="E118" s="326" t="s">
        <v>123</v>
      </c>
      <c r="F118" s="32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259.00869420195357</v>
      </c>
      <c r="F119" s="279">
        <f>MIN(F108:F113)</f>
        <v>86.336231400651187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271.27236343500067</v>
      </c>
      <c r="F120" s="280">
        <f>MAX(F108:F113)</f>
        <v>90.424121145000228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2" t="str">
        <f>B26</f>
        <v>Tenofovir Disoproxil Fumurate</v>
      </c>
      <c r="D124" s="302"/>
      <c r="E124" s="198" t="s">
        <v>127</v>
      </c>
      <c r="F124" s="198"/>
      <c r="G124" s="281">
        <f>F115</f>
        <v>89.415775008060791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86.336231400651187</v>
      </c>
      <c r="E125" s="209" t="s">
        <v>130</v>
      </c>
      <c r="F125" s="281">
        <f>MAX(F108:F113)</f>
        <v>90.424121145000228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3" t="s">
        <v>26</v>
      </c>
      <c r="C127" s="303"/>
      <c r="E127" s="204" t="s">
        <v>27</v>
      </c>
      <c r="F127" s="239"/>
      <c r="G127" s="303" t="s">
        <v>28</v>
      </c>
      <c r="H127" s="303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Tenofovir Disoproxil Fumurate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2017-03-16T11:30:27Z</cp:lastPrinted>
  <dcterms:created xsi:type="dcterms:W3CDTF">2005-07-05T10:19:27Z</dcterms:created>
  <dcterms:modified xsi:type="dcterms:W3CDTF">2017-06-21T12:41:34Z</dcterms:modified>
</cp:coreProperties>
</file>