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Lopinavir" sheetId="1" r:id="rId1"/>
    <sheet name="SST Ritonavir" sheetId="5" r:id="rId2"/>
    <sheet name="Uniformity" sheetId="2" r:id="rId3"/>
    <sheet name="Lopinavir" sheetId="7" r:id="rId4"/>
    <sheet name="Ritonavir" sheetId="6" r:id="rId5"/>
  </sheets>
  <definedNames>
    <definedName name="_xlnm.Print_Area" localSheetId="3">Lopinavir!$A$1:$I$129</definedName>
    <definedName name="_xlnm.Print_Area" localSheetId="4">Ritonavir!$A$1:$I$129</definedName>
    <definedName name="_xlnm.Print_Area" localSheetId="0">'SST Lopinavir'!$A$15:$H$61</definedName>
    <definedName name="_xlnm.Print_Area" localSheetId="1">'SST Ritonavir'!$A$15:$G$61</definedName>
    <definedName name="_xlnm.Print_Area" localSheetId="2">Uniformity!$A$10:$G$52</definedName>
  </definedNames>
  <calcPr calcId="145621"/>
</workbook>
</file>

<file path=xl/calcChain.xml><?xml version="1.0" encoding="utf-8"?>
<calcChain xmlns="http://schemas.openxmlformats.org/spreadsheetml/2006/main">
  <c r="B42" i="1" l="1"/>
  <c r="B42" i="5"/>
  <c r="C124" i="7"/>
  <c r="B116" i="7"/>
  <c r="D100" i="7"/>
  <c r="D101" i="7" s="1"/>
  <c r="B98" i="7"/>
  <c r="F95" i="7"/>
  <c r="D95" i="7"/>
  <c r="G94" i="7"/>
  <c r="E94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B57" i="7"/>
  <c r="B69" i="7" s="1"/>
  <c r="C56" i="7"/>
  <c r="B55" i="7"/>
  <c r="B45" i="7"/>
  <c r="D48" i="7" s="1"/>
  <c r="F44" i="7"/>
  <c r="F45" i="7" s="1"/>
  <c r="F46" i="7" s="1"/>
  <c r="F42" i="7"/>
  <c r="I39" i="7" s="1"/>
  <c r="D42" i="7"/>
  <c r="G41" i="7"/>
  <c r="E41" i="7"/>
  <c r="B34" i="7"/>
  <c r="D44" i="7" s="1"/>
  <c r="D45" i="7" s="1"/>
  <c r="D46" i="7" s="1"/>
  <c r="B30" i="7"/>
  <c r="C124" i="6"/>
  <c r="B116" i="6"/>
  <c r="D101" i="6"/>
  <c r="D100" i="6"/>
  <c r="B98" i="6"/>
  <c r="F97" i="6"/>
  <c r="F98" i="6" s="1"/>
  <c r="D97" i="6"/>
  <c r="D98" i="6" s="1"/>
  <c r="F95" i="6"/>
  <c r="D95" i="6"/>
  <c r="G94" i="6"/>
  <c r="E94" i="6"/>
  <c r="B87" i="6"/>
  <c r="B83" i="6"/>
  <c r="B81" i="6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D48" i="6"/>
  <c r="D45" i="6"/>
  <c r="D46" i="6" s="1"/>
  <c r="B45" i="6"/>
  <c r="D44" i="6"/>
  <c r="F42" i="6"/>
  <c r="D42" i="6"/>
  <c r="G41" i="6"/>
  <c r="E41" i="6"/>
  <c r="I39" i="6"/>
  <c r="E38" i="6"/>
  <c r="B34" i="6"/>
  <c r="F44" i="6" s="1"/>
  <c r="F45" i="6" s="1"/>
  <c r="B30" i="6"/>
  <c r="I92" i="7" l="1"/>
  <c r="G39" i="7"/>
  <c r="G40" i="7"/>
  <c r="D49" i="7"/>
  <c r="E40" i="7"/>
  <c r="G38" i="7"/>
  <c r="E38" i="7"/>
  <c r="E39" i="7"/>
  <c r="F98" i="7"/>
  <c r="F99" i="7" s="1"/>
  <c r="D102" i="7"/>
  <c r="G93" i="7"/>
  <c r="E93" i="7"/>
  <c r="G91" i="7"/>
  <c r="E91" i="7"/>
  <c r="D97" i="7"/>
  <c r="D98" i="7" s="1"/>
  <c r="D99" i="7" s="1"/>
  <c r="I92" i="6"/>
  <c r="F46" i="6"/>
  <c r="G38" i="6"/>
  <c r="G39" i="6"/>
  <c r="F99" i="6"/>
  <c r="G93" i="6"/>
  <c r="G91" i="6"/>
  <c r="E92" i="6"/>
  <c r="D99" i="6"/>
  <c r="E93" i="6"/>
  <c r="E91" i="6"/>
  <c r="D49" i="6"/>
  <c r="D102" i="6"/>
  <c r="E40" i="6"/>
  <c r="E39" i="6"/>
  <c r="D50" i="6" s="1"/>
  <c r="G40" i="6"/>
  <c r="E42" i="6"/>
  <c r="G92" i="6"/>
  <c r="B21" i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F51" i="1"/>
  <c r="D51" i="1"/>
  <c r="C51" i="1"/>
  <c r="B51" i="1"/>
  <c r="B52" i="1" s="1"/>
  <c r="B32" i="1"/>
  <c r="F30" i="1"/>
  <c r="D30" i="1"/>
  <c r="C30" i="1"/>
  <c r="B30" i="1"/>
  <c r="B31" i="1" s="1"/>
  <c r="G92" i="7" l="1"/>
  <c r="G95" i="7" s="1"/>
  <c r="E92" i="7"/>
  <c r="D105" i="7" s="1"/>
  <c r="E42" i="7"/>
  <c r="D52" i="7"/>
  <c r="D50" i="7"/>
  <c r="G42" i="7"/>
  <c r="E95" i="7"/>
  <c r="D51" i="6"/>
  <c r="G68" i="6"/>
  <c r="H68" i="6" s="1"/>
  <c r="G70" i="6"/>
  <c r="H70" i="6" s="1"/>
  <c r="G65" i="6"/>
  <c r="H65" i="6" s="1"/>
  <c r="G61" i="6"/>
  <c r="H61" i="6" s="1"/>
  <c r="G69" i="6"/>
  <c r="H69" i="6" s="1"/>
  <c r="G66" i="6"/>
  <c r="H66" i="6" s="1"/>
  <c r="G64" i="6"/>
  <c r="H64" i="6" s="1"/>
  <c r="G62" i="6"/>
  <c r="H62" i="6" s="1"/>
  <c r="G60" i="6"/>
  <c r="D52" i="6"/>
  <c r="D103" i="6"/>
  <c r="E95" i="6"/>
  <c r="D105" i="6"/>
  <c r="G95" i="6"/>
  <c r="G42" i="6"/>
  <c r="E33" i="2"/>
  <c r="E27" i="2"/>
  <c r="E21" i="2"/>
  <c r="D43" i="2"/>
  <c r="D103" i="7" l="1"/>
  <c r="G68" i="7"/>
  <c r="H68" i="7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H60" i="6"/>
  <c r="G74" i="6"/>
  <c r="G72" i="6"/>
  <c r="G73" i="6" s="1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9" i="2"/>
  <c r="E23" i="2"/>
  <c r="E29" i="2"/>
  <c r="E35" i="2"/>
  <c r="E25" i="2"/>
  <c r="E31" i="2"/>
  <c r="E37" i="2"/>
  <c r="E113" i="7" l="1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G72" i="7"/>
  <c r="G73" i="7" s="1"/>
  <c r="H60" i="7"/>
  <c r="G74" i="7"/>
  <c r="H74" i="6"/>
  <c r="H72" i="6"/>
  <c r="E120" i="6"/>
  <c r="E117" i="6"/>
  <c r="F108" i="6"/>
  <c r="E115" i="6"/>
  <c r="E116" i="6" s="1"/>
  <c r="E119" i="6"/>
  <c r="H74" i="7" l="1"/>
  <c r="H72" i="7"/>
  <c r="E120" i="7"/>
  <c r="E115" i="7"/>
  <c r="E116" i="7" s="1"/>
  <c r="E117" i="7"/>
  <c r="F108" i="7"/>
  <c r="E119" i="7"/>
  <c r="G76" i="6"/>
  <c r="H73" i="6"/>
  <c r="F125" i="6"/>
  <c r="F120" i="6"/>
  <c r="F117" i="6"/>
  <c r="D125" i="6"/>
  <c r="F115" i="6"/>
  <c r="F119" i="6"/>
  <c r="G76" i="7" l="1"/>
  <c r="H73" i="7"/>
  <c r="F125" i="7"/>
  <c r="F120" i="7"/>
  <c r="F117" i="7"/>
  <c r="F115" i="7"/>
  <c r="F119" i="7"/>
  <c r="D125" i="7"/>
  <c r="G124" i="6"/>
  <c r="F116" i="6"/>
  <c r="G124" i="7" l="1"/>
  <c r="F116" i="7"/>
</calcChain>
</file>

<file path=xl/sharedStrings.xml><?xml version="1.0" encoding="utf-8"?>
<sst xmlns="http://schemas.openxmlformats.org/spreadsheetml/2006/main" count="461" uniqueCount="146">
  <si>
    <t>HPLC System Suitability Report</t>
  </si>
  <si>
    <t>Analysis Data</t>
  </si>
  <si>
    <t>Assay</t>
  </si>
  <si>
    <t>Sample(s)</t>
  </si>
  <si>
    <t>Reference Substance:</t>
  </si>
  <si>
    <t xml:space="preserve">LOPINAVIR AND RITONAVIR ORAL PELLETS 40 MG/10 MG </t>
  </si>
  <si>
    <t>% age Purity:</t>
  </si>
  <si>
    <t>NDQB201703341</t>
  </si>
  <si>
    <t>Weight (mg):</t>
  </si>
  <si>
    <t>Lopinavir usp 40mg Ritonavir USP 10 MG</t>
  </si>
  <si>
    <t>Standard Conc (mg/mL):</t>
  </si>
  <si>
    <t>Each contains Lopinavir USP 40MG Ritonavir USP 10 MG</t>
  </si>
  <si>
    <t>2017-03-09 14:04:40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</si>
  <si>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</si>
  <si>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</si>
  <si>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</si>
  <si>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</si>
  <si>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</si>
  <si>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</si>
  <si>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</si>
  <si>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</si>
  <si>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</si>
  <si>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</si>
  <si>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</si>
  <si>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</si>
  <si>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</si>
  <si>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</si>
  <si>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</si>
  <si>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</si>
  <si>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</si>
  <si>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</si>
  <si>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</si>
  <si>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</si>
  <si>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</si>
  <si>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</si>
  <si>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</si>
  <si>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</si>
  <si>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</si>
  <si>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</si>
  <si>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2017-03-16 09:04:08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</si>
  <si>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</si>
  <si>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</si>
  <si>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</si>
  <si>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</si>
  <si>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</si>
  <si>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</si>
  <si>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 xml:space="preserve">295.86 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</si>
  <si>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</si>
  <si>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</si>
  <si>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</si>
  <si>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</si>
  <si>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</si>
  <si>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</si>
  <si>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</si>
  <si>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</si>
  <si>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</si>
  <si>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</si>
  <si>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</si>
  <si>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</si>
  <si>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</si>
  <si>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</si>
  <si>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</si>
  <si>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</si>
  <si>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</si>
  <si>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</si>
  <si>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</si>
  <si>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</si>
  <si>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</si>
  <si>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</si>
  <si>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</si>
  <si>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</si>
  <si>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</si>
  <si>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</si>
  <si>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</si>
  <si>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</si>
  <si>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</si>
  <si>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</si>
  <si>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</si>
  <si>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</si>
  <si>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</si>
  <si>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</si>
  <si>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</si>
  <si>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</si>
  <si>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</si>
  <si>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</si>
  <si>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</si>
  <si>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</si>
  <si>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</si>
  <si>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</si>
  <si>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</si>
  <si>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</si>
  <si>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</si>
  <si>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</si>
  <si>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</si>
  <si>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</si>
  <si>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</si>
  <si>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</si>
  <si>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</si>
  <si>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</si>
  <si>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</si>
  <si>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</si>
  <si>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</si>
  <si>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</si>
  <si>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</si>
  <si>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</si>
  <si>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</si>
  <si>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</si>
  <si>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</si>
  <si>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</si>
  <si>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</si>
  <si>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</si>
  <si>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</si>
  <si>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</si>
  <si>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</si>
  <si>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</si>
  <si>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</si>
  <si>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</si>
  <si>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</si>
  <si>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</si>
  <si>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</si>
  <si>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</si>
  <si>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</si>
  <si>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</si>
  <si>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</si>
  <si>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</si>
  <si>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</si>
  <si>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</si>
  <si>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</si>
  <si>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</si>
  <si>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</si>
  <si>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</si>
  <si>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</si>
  <si>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</si>
  <si>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</si>
  <si>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</si>
  <si>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</si>
  <si>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</si>
  <si>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R14-2</t>
  </si>
  <si>
    <t>Lopinavir</t>
  </si>
  <si>
    <t>L20-2</t>
  </si>
  <si>
    <t xml:space="preserve">Lopinavir </t>
  </si>
  <si>
    <t xml:space="preserve">Ritonavir </t>
  </si>
  <si>
    <t>RUTTO KENNEDY</t>
  </si>
  <si>
    <t>Resolution(USP)</t>
  </si>
  <si>
    <r>
      <t xml:space="preserve">The number of Theoretical Plates (USP) for all peaks is NLT </t>
    </r>
    <r>
      <rPr>
        <b/>
        <sz val="12"/>
        <color rgb="FF000000"/>
        <rFont val="Book Antiqua"/>
        <family val="1"/>
      </rPr>
      <t xml:space="preserve">3000 </t>
    </r>
  </si>
  <si>
    <r>
      <t xml:space="preserve">The Resolution between the peaks of Lopinavir and Ritonavir is </t>
    </r>
    <r>
      <rPr>
        <b/>
        <sz val="12"/>
        <color rgb="FF000000"/>
        <rFont val="Book Antiqua"/>
        <family val="1"/>
      </rPr>
      <t>NLT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</si>
</sst>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0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31" xfId="0" applyNumberFormat="1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3" fillId="3" borderId="53" xfId="0" applyNumberFormat="1" applyFont="1" applyFill="1" applyBorder="1" applyAlignment="1" applyProtection="1">
      <alignment horizontal="center"/>
      <protection locked="0"/>
    </xf>
    <xf numFmtId="1" fontId="13" fillId="3" borderId="32" xfId="0" applyNumberFormat="1" applyFont="1" applyFill="1" applyBorder="1" applyAlignment="1" applyProtection="1">
      <alignment horizontal="center"/>
      <protection locked="0"/>
    </xf>
    <xf numFmtId="0" fontId="11" fillId="2" borderId="31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73" fontId="11" fillId="2" borderId="34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26" fillId="2" borderId="0" xfId="0" applyFont="1" applyFill="1" applyAlignment="1" applyProtection="1">
      <alignment horizontal="left"/>
      <protection locked="0"/>
    </xf>
    <xf numFmtId="0" fontId="26" fillId="2" borderId="0" xfId="0" applyFont="1" applyFill="1"/>
  </cellXfs>
  <cellStyles count="1">
    <cellStyle name="Normal" xfId="0" builtinId="0"/>
  </cellStyles>
  <dxfs count="3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A32" sqref="A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218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285" t="s">
        <v>0</v>
      </c>
      <c r="B15" s="285"/>
      <c r="C15" s="285"/>
      <c r="D15" s="285"/>
      <c r="E15" s="285"/>
      <c r="F15" s="28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140</v>
      </c>
      <c r="C18" s="10"/>
      <c r="D18" s="10"/>
      <c r="E18" s="36"/>
      <c r="F18" s="10"/>
    </row>
    <row r="19" spans="1:7" ht="16.5" customHeight="1" x14ac:dyDescent="0.3">
      <c r="A19" s="11" t="s">
        <v>6</v>
      </c>
      <c r="B19" s="12">
        <v>99.8</v>
      </c>
      <c r="C19" s="10"/>
      <c r="D19" s="10"/>
      <c r="E19" s="36"/>
      <c r="F19" s="10"/>
    </row>
    <row r="20" spans="1:7" ht="16.5" customHeight="1" x14ac:dyDescent="0.3">
      <c r="A20" s="7" t="s">
        <v>8</v>
      </c>
      <c r="B20" s="12">
        <v>19.57</v>
      </c>
      <c r="C20" s="10"/>
      <c r="D20" s="10"/>
      <c r="E20" s="36"/>
      <c r="F20" s="10"/>
    </row>
    <row r="21" spans="1:7" ht="16.5" customHeight="1" x14ac:dyDescent="0.3">
      <c r="A21" s="7" t="s">
        <v>10</v>
      </c>
      <c r="B21" s="13">
        <f>19.57/10*4/100</f>
        <v>7.8280000000000002E-2</v>
      </c>
      <c r="C21" s="10"/>
      <c r="D21" s="10"/>
      <c r="E21" s="36"/>
      <c r="F21" s="10"/>
    </row>
    <row r="22" spans="1:7" ht="15.75" customHeight="1" x14ac:dyDescent="0.25">
      <c r="A22" s="10"/>
      <c r="B22" s="10"/>
      <c r="C22" s="10"/>
      <c r="D22" s="10"/>
      <c r="E22" s="36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143</v>
      </c>
      <c r="F23" s="16" t="s">
        <v>17</v>
      </c>
    </row>
    <row r="24" spans="1:7" ht="16.5" customHeight="1" x14ac:dyDescent="0.3">
      <c r="A24" s="17">
        <v>1</v>
      </c>
      <c r="B24" s="18">
        <v>24308654</v>
      </c>
      <c r="C24" s="18">
        <v>8339.4</v>
      </c>
      <c r="D24" s="19">
        <v>1</v>
      </c>
      <c r="E24" s="19">
        <v>4.59</v>
      </c>
      <c r="F24" s="20">
        <v>9.31</v>
      </c>
    </row>
    <row r="25" spans="1:7" ht="16.5" customHeight="1" x14ac:dyDescent="0.3">
      <c r="A25" s="17">
        <v>2</v>
      </c>
      <c r="B25" s="18">
        <v>24311723</v>
      </c>
      <c r="C25" s="18">
        <v>8346.35</v>
      </c>
      <c r="D25" s="19">
        <v>1.02</v>
      </c>
      <c r="E25" s="19">
        <v>4.57</v>
      </c>
      <c r="F25" s="19">
        <v>9.31</v>
      </c>
    </row>
    <row r="26" spans="1:7" ht="16.5" customHeight="1" x14ac:dyDescent="0.3">
      <c r="A26" s="17">
        <v>3</v>
      </c>
      <c r="B26" s="18">
        <v>24433548</v>
      </c>
      <c r="C26" s="18">
        <v>8331.66</v>
      </c>
      <c r="D26" s="19">
        <v>1.01</v>
      </c>
      <c r="E26" s="19">
        <v>4.58</v>
      </c>
      <c r="F26" s="19">
        <v>9.31</v>
      </c>
    </row>
    <row r="27" spans="1:7" ht="16.5" customHeight="1" x14ac:dyDescent="0.3">
      <c r="A27" s="17">
        <v>4</v>
      </c>
      <c r="B27" s="18">
        <v>24347664</v>
      </c>
      <c r="C27" s="18">
        <v>8286.36</v>
      </c>
      <c r="D27" s="19">
        <v>1</v>
      </c>
      <c r="E27" s="19">
        <v>4.57</v>
      </c>
      <c r="F27" s="19">
        <v>9.32</v>
      </c>
    </row>
    <row r="28" spans="1:7" ht="16.5" customHeight="1" x14ac:dyDescent="0.3">
      <c r="A28" s="17">
        <v>5</v>
      </c>
      <c r="B28" s="18">
        <v>24343611</v>
      </c>
      <c r="C28" s="18">
        <v>8320.6299999999992</v>
      </c>
      <c r="D28" s="19">
        <v>1.01</v>
      </c>
      <c r="E28" s="19">
        <v>4.58</v>
      </c>
      <c r="F28" s="19">
        <v>9.31</v>
      </c>
    </row>
    <row r="29" spans="1:7" ht="16.5" customHeight="1" x14ac:dyDescent="0.3">
      <c r="A29" s="17">
        <v>6</v>
      </c>
      <c r="B29" s="21">
        <v>24511264</v>
      </c>
      <c r="C29" s="21">
        <v>8320.35</v>
      </c>
      <c r="D29" s="22">
        <v>1.01</v>
      </c>
      <c r="E29" s="22">
        <v>4.57</v>
      </c>
      <c r="F29" s="22">
        <v>9.32</v>
      </c>
    </row>
    <row r="30" spans="1:7" ht="16.5" customHeight="1" x14ac:dyDescent="0.3">
      <c r="A30" s="23" t="s">
        <v>18</v>
      </c>
      <c r="B30" s="24">
        <f>AVERAGE(B24:B29)</f>
        <v>24376077.333333332</v>
      </c>
      <c r="C30" s="25">
        <f>AVERAGE(C24:C29)</f>
        <v>8324.125</v>
      </c>
      <c r="D30" s="26">
        <f>AVERAGE(D24:D29)</f>
        <v>1.0083333333333333</v>
      </c>
      <c r="E30" s="26">
        <v>4.58</v>
      </c>
      <c r="F30" s="26">
        <f>AVERAGE(F24:F29)</f>
        <v>9.3133333333333344</v>
      </c>
    </row>
    <row r="31" spans="1:7" ht="16.5" customHeight="1" x14ac:dyDescent="0.3">
      <c r="A31" s="27" t="s">
        <v>19</v>
      </c>
      <c r="B31" s="28">
        <f>(STDEV(B24:B29)/B30)</f>
        <v>3.2884163430053721E-3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4"/>
      <c r="F32" s="35"/>
    </row>
    <row r="33" spans="1:7" s="2" customFormat="1" ht="15.75" customHeight="1" x14ac:dyDescent="0.25">
      <c r="A33" s="10"/>
      <c r="B33" s="10"/>
      <c r="C33" s="10"/>
      <c r="D33" s="10"/>
      <c r="E33" s="36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336" t="s">
        <v>145</v>
      </c>
      <c r="C37" s="10"/>
      <c r="D37" s="10"/>
      <c r="E37" s="36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 t="s">
        <v>138</v>
      </c>
      <c r="C39" s="10"/>
      <c r="D39" s="10"/>
      <c r="E39" s="36"/>
      <c r="F39" s="10"/>
    </row>
    <row r="40" spans="1:7" ht="16.5" customHeight="1" x14ac:dyDescent="0.3">
      <c r="A40" s="11" t="s">
        <v>6</v>
      </c>
      <c r="B40" s="12">
        <v>99.8</v>
      </c>
      <c r="C40" s="10"/>
      <c r="D40" s="10"/>
      <c r="E40" s="36"/>
      <c r="F40" s="10"/>
    </row>
    <row r="41" spans="1:7" ht="16.5" customHeight="1" x14ac:dyDescent="0.3">
      <c r="A41" s="7" t="s">
        <v>8</v>
      </c>
      <c r="B41" s="12">
        <v>18.559999999999999</v>
      </c>
      <c r="C41" s="10"/>
      <c r="D41" s="10"/>
      <c r="E41" s="36"/>
      <c r="F41" s="10"/>
    </row>
    <row r="42" spans="1:7" ht="16.5" customHeight="1" x14ac:dyDescent="0.3">
      <c r="A42" s="7" t="s">
        <v>10</v>
      </c>
      <c r="B42" s="13">
        <f>18.56/10*4/100</f>
        <v>7.424E-2</v>
      </c>
      <c r="C42" s="10"/>
      <c r="D42" s="10"/>
      <c r="E42" s="36"/>
      <c r="F42" s="10"/>
    </row>
    <row r="43" spans="1:7" ht="15.75" customHeight="1" x14ac:dyDescent="0.25">
      <c r="A43" s="10"/>
      <c r="B43" s="10"/>
      <c r="C43" s="10"/>
      <c r="D43" s="10"/>
      <c r="E43" s="36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143</v>
      </c>
      <c r="F44" s="16" t="s">
        <v>17</v>
      </c>
    </row>
    <row r="45" spans="1:7" ht="16.5" customHeight="1" x14ac:dyDescent="0.3">
      <c r="A45" s="17">
        <v>1</v>
      </c>
      <c r="B45" s="18">
        <v>23008522</v>
      </c>
      <c r="C45" s="18">
        <v>4026.28</v>
      </c>
      <c r="D45" s="19">
        <v>1.01</v>
      </c>
      <c r="E45" s="19">
        <v>3.24</v>
      </c>
      <c r="F45" s="20">
        <v>9.15</v>
      </c>
    </row>
    <row r="46" spans="1:7" ht="16.5" customHeight="1" x14ac:dyDescent="0.3">
      <c r="A46" s="17">
        <v>2</v>
      </c>
      <c r="B46" s="18">
        <v>22969838</v>
      </c>
      <c r="C46" s="18">
        <v>4150.0200000000004</v>
      </c>
      <c r="D46" s="19">
        <v>1</v>
      </c>
      <c r="E46" s="19">
        <v>3.3</v>
      </c>
      <c r="F46" s="19">
        <v>9.15</v>
      </c>
    </row>
    <row r="47" spans="1:7" ht="16.5" customHeight="1" x14ac:dyDescent="0.3">
      <c r="A47" s="17">
        <v>3</v>
      </c>
      <c r="B47" s="18">
        <v>23047583</v>
      </c>
      <c r="C47" s="18">
        <v>4181.13</v>
      </c>
      <c r="D47" s="19">
        <v>1.01</v>
      </c>
      <c r="E47" s="19">
        <v>3.3</v>
      </c>
      <c r="F47" s="19">
        <v>9.15</v>
      </c>
    </row>
    <row r="48" spans="1:7" ht="16.5" customHeight="1" x14ac:dyDescent="0.3">
      <c r="A48" s="17">
        <v>4</v>
      </c>
      <c r="B48" s="18">
        <v>22999624</v>
      </c>
      <c r="C48" s="18">
        <v>4239.13</v>
      </c>
      <c r="D48" s="19">
        <v>1.02</v>
      </c>
      <c r="E48" s="19">
        <v>3.32</v>
      </c>
      <c r="F48" s="19">
        <v>9.15</v>
      </c>
    </row>
    <row r="49" spans="1:8" ht="16.5" customHeight="1" x14ac:dyDescent="0.3">
      <c r="A49" s="17">
        <v>5</v>
      </c>
      <c r="B49" s="18">
        <v>23018277</v>
      </c>
      <c r="C49" s="18">
        <v>4364.2700000000004</v>
      </c>
      <c r="D49" s="19">
        <v>1.01</v>
      </c>
      <c r="E49" s="19">
        <v>3.37</v>
      </c>
      <c r="F49" s="19">
        <v>9.16</v>
      </c>
    </row>
    <row r="50" spans="1:8" ht="16.5" customHeight="1" x14ac:dyDescent="0.3">
      <c r="A50" s="17">
        <v>6</v>
      </c>
      <c r="B50" s="21">
        <v>22983114</v>
      </c>
      <c r="C50" s="21">
        <v>4377.34</v>
      </c>
      <c r="D50" s="22">
        <v>1.03</v>
      </c>
      <c r="E50" s="22">
        <v>3.38</v>
      </c>
      <c r="F50" s="22">
        <v>9.16</v>
      </c>
    </row>
    <row r="51" spans="1:8" ht="16.5" customHeight="1" x14ac:dyDescent="0.3">
      <c r="A51" s="23" t="s">
        <v>18</v>
      </c>
      <c r="B51" s="24">
        <f>AVERAGE(B45:B50)</f>
        <v>23004493</v>
      </c>
      <c r="C51" s="25">
        <f>AVERAGE(C45:C50)</f>
        <v>4223.0283333333336</v>
      </c>
      <c r="D51" s="26">
        <f>AVERAGE(D45:D50)</f>
        <v>1.0133333333333332</v>
      </c>
      <c r="E51" s="26">
        <v>3.32</v>
      </c>
      <c r="F51" s="26">
        <f>AVERAGE(F45:F50)</f>
        <v>9.1533333333333342</v>
      </c>
    </row>
    <row r="52" spans="1:8" ht="16.5" customHeight="1" x14ac:dyDescent="0.3">
      <c r="A52" s="27" t="s">
        <v>19</v>
      </c>
      <c r="B52" s="28">
        <f>(STDEV(B45:B50)/B51)</f>
        <v>1.1896298621794441E-3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4"/>
      <c r="F53" s="35"/>
    </row>
    <row r="54" spans="1:8" s="2" customFormat="1" ht="15.75" customHeight="1" x14ac:dyDescent="0.25">
      <c r="A54" s="10"/>
      <c r="B54" s="10"/>
      <c r="C54" s="10"/>
      <c r="D54" s="10"/>
      <c r="E54" s="36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35" t="s">
        <v>144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284"/>
      <c r="G58" s="44"/>
      <c r="H58" s="44"/>
    </row>
    <row r="59" spans="1:8" ht="15" customHeight="1" x14ac:dyDescent="0.3">
      <c r="B59" s="286" t="s">
        <v>26</v>
      </c>
      <c r="C59" s="286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8" t="s">
        <v>142</v>
      </c>
      <c r="C60" s="48"/>
      <c r="F60" s="48"/>
      <c r="G60" s="2"/>
      <c r="H60" s="49"/>
    </row>
    <row r="61" spans="1:8" ht="15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25" sqref="B25"/>
    </sheetView>
  </sheetViews>
  <sheetFormatPr defaultRowHeight="13.5" x14ac:dyDescent="0.25"/>
  <cols>
    <col min="1" max="1" width="27.5703125" style="218" customWidth="1"/>
    <col min="2" max="2" width="20.42578125" style="218" customWidth="1"/>
    <col min="3" max="3" width="31.85546875" style="218" customWidth="1"/>
    <col min="4" max="4" width="25.85546875" style="218" customWidth="1"/>
    <col min="5" max="5" width="25.7109375" style="218" customWidth="1"/>
    <col min="6" max="6" width="23.140625" style="218" customWidth="1"/>
    <col min="7" max="7" width="28.42578125" style="218" customWidth="1"/>
    <col min="8" max="8" width="21.5703125" style="218" customWidth="1"/>
    <col min="9" max="9" width="9.140625" style="218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12" t="s">
        <v>136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20.149999999999999</v>
      </c>
      <c r="C20" s="36"/>
      <c r="D20" s="36"/>
      <c r="E20" s="36"/>
    </row>
    <row r="21" spans="1:5" ht="16.5" customHeight="1" x14ac:dyDescent="0.3">
      <c r="A21" s="8" t="s">
        <v>10</v>
      </c>
      <c r="B21" s="13">
        <f>20.15/50*5/100</f>
        <v>2.0149999999999998E-2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4750150</v>
      </c>
      <c r="C24" s="18">
        <v>7390.72</v>
      </c>
      <c r="D24" s="19">
        <v>1.02</v>
      </c>
      <c r="E24" s="20">
        <v>7.57</v>
      </c>
    </row>
    <row r="25" spans="1:5" ht="16.5" customHeight="1" x14ac:dyDescent="0.3">
      <c r="A25" s="17">
        <v>2</v>
      </c>
      <c r="B25" s="18">
        <v>4751871</v>
      </c>
      <c r="C25" s="18">
        <v>7356.71</v>
      </c>
      <c r="D25" s="19">
        <v>1.01</v>
      </c>
      <c r="E25" s="19">
        <v>7.57</v>
      </c>
    </row>
    <row r="26" spans="1:5" ht="16.5" customHeight="1" x14ac:dyDescent="0.3">
      <c r="A26" s="17">
        <v>3</v>
      </c>
      <c r="B26" s="18">
        <v>4770878</v>
      </c>
      <c r="C26" s="18">
        <v>7388.82</v>
      </c>
      <c r="D26" s="19">
        <v>1.02</v>
      </c>
      <c r="E26" s="19">
        <v>7.57</v>
      </c>
    </row>
    <row r="27" spans="1:5" ht="16.5" customHeight="1" x14ac:dyDescent="0.3">
      <c r="A27" s="17">
        <v>4</v>
      </c>
      <c r="B27" s="18">
        <v>4752506</v>
      </c>
      <c r="C27" s="18">
        <v>7383.65</v>
      </c>
      <c r="D27" s="19">
        <v>1.01</v>
      </c>
      <c r="E27" s="19">
        <v>7.58</v>
      </c>
    </row>
    <row r="28" spans="1:5" ht="16.5" customHeight="1" x14ac:dyDescent="0.3">
      <c r="A28" s="17">
        <v>5</v>
      </c>
      <c r="B28" s="18">
        <v>4750740</v>
      </c>
      <c r="C28" s="18">
        <v>7380.62</v>
      </c>
      <c r="D28" s="19">
        <v>1.02</v>
      </c>
      <c r="E28" s="19">
        <v>7.57</v>
      </c>
    </row>
    <row r="29" spans="1:5" ht="16.5" customHeight="1" x14ac:dyDescent="0.3">
      <c r="A29" s="17">
        <v>6</v>
      </c>
      <c r="B29" s="21">
        <v>4784034</v>
      </c>
      <c r="C29" s="21">
        <v>7366.21</v>
      </c>
      <c r="D29" s="22">
        <v>1.01</v>
      </c>
      <c r="E29" s="22">
        <v>7.58</v>
      </c>
    </row>
    <row r="30" spans="1:5" ht="16.5" customHeight="1" x14ac:dyDescent="0.3">
      <c r="A30" s="23" t="s">
        <v>18</v>
      </c>
      <c r="B30" s="24">
        <f>AVERAGE(B24:B29)</f>
        <v>4760029.833333333</v>
      </c>
      <c r="C30" s="25">
        <f>AVERAGE(C24:C29)</f>
        <v>7377.7883333333339</v>
      </c>
      <c r="D30" s="26">
        <f>AVERAGE(D24:D29)</f>
        <v>1.0149999999999999</v>
      </c>
      <c r="E30" s="26">
        <f>AVERAGE(E24:E29)</f>
        <v>7.5733333333333333</v>
      </c>
    </row>
    <row r="31" spans="1:5" ht="16.5" customHeight="1" x14ac:dyDescent="0.3">
      <c r="A31" s="27" t="s">
        <v>19</v>
      </c>
      <c r="B31" s="28">
        <f>(STDEV(B24:B29)/B30)</f>
        <v>2.9724580926754336E-3</v>
      </c>
      <c r="C31" s="29"/>
      <c r="D31" s="29"/>
      <c r="E31" s="30"/>
    </row>
    <row r="32" spans="1:5" s="218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218" customFormat="1" ht="15.75" customHeight="1" x14ac:dyDescent="0.25">
      <c r="A33" s="36"/>
      <c r="B33" s="36"/>
      <c r="C33" s="36"/>
      <c r="D33" s="36"/>
      <c r="E33" s="36"/>
    </row>
    <row r="34" spans="1:5" s="218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3">
      <c r="A37" s="36"/>
      <c r="B37" s="336" t="s">
        <v>145</v>
      </c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 t="s">
        <v>136</v>
      </c>
      <c r="C39" s="36"/>
      <c r="D39" s="36"/>
      <c r="E39" s="36"/>
    </row>
    <row r="40" spans="1:5" ht="16.5" customHeight="1" x14ac:dyDescent="0.3">
      <c r="A40" s="11" t="s">
        <v>6</v>
      </c>
      <c r="B40" s="12">
        <v>99.4</v>
      </c>
      <c r="C40" s="36"/>
      <c r="D40" s="36"/>
      <c r="E40" s="36"/>
    </row>
    <row r="41" spans="1:5" ht="16.5" customHeight="1" x14ac:dyDescent="0.3">
      <c r="A41" s="8" t="s">
        <v>8</v>
      </c>
      <c r="B41" s="12">
        <v>19.5</v>
      </c>
      <c r="C41" s="36"/>
      <c r="D41" s="36"/>
      <c r="E41" s="36"/>
    </row>
    <row r="42" spans="1:5" ht="16.5" customHeight="1" x14ac:dyDescent="0.3">
      <c r="A42" s="8" t="s">
        <v>10</v>
      </c>
      <c r="B42" s="13">
        <f>19.5/50*5/100</f>
        <v>1.9500000000000003E-2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4463922</v>
      </c>
      <c r="C45" s="18">
        <v>3951.48</v>
      </c>
      <c r="D45" s="19">
        <v>0.99</v>
      </c>
      <c r="E45" s="20">
        <v>7.45</v>
      </c>
    </row>
    <row r="46" spans="1:5" ht="16.5" customHeight="1" x14ac:dyDescent="0.3">
      <c r="A46" s="17">
        <v>2</v>
      </c>
      <c r="B46" s="18">
        <v>4471860</v>
      </c>
      <c r="C46" s="18">
        <v>4046.87</v>
      </c>
      <c r="D46" s="19">
        <v>0.99</v>
      </c>
      <c r="E46" s="19">
        <v>7.45</v>
      </c>
    </row>
    <row r="47" spans="1:5" ht="16.5" customHeight="1" x14ac:dyDescent="0.3">
      <c r="A47" s="17">
        <v>3</v>
      </c>
      <c r="B47" s="18">
        <v>4491455</v>
      </c>
      <c r="C47" s="18">
        <v>4096.0600000000004</v>
      </c>
      <c r="D47" s="19">
        <v>0.99</v>
      </c>
      <c r="E47" s="19">
        <v>7.45</v>
      </c>
    </row>
    <row r="48" spans="1:5" ht="16.5" customHeight="1" x14ac:dyDescent="0.3">
      <c r="A48" s="17">
        <v>4</v>
      </c>
      <c r="B48" s="18">
        <v>4479291</v>
      </c>
      <c r="C48" s="18">
        <v>4139.42</v>
      </c>
      <c r="D48" s="19">
        <v>0.99</v>
      </c>
      <c r="E48" s="19">
        <v>7.45</v>
      </c>
    </row>
    <row r="49" spans="1:7" ht="16.5" customHeight="1" x14ac:dyDescent="0.3">
      <c r="A49" s="17">
        <v>5</v>
      </c>
      <c r="B49" s="18">
        <v>4481084</v>
      </c>
      <c r="C49" s="18">
        <v>4208.8100000000004</v>
      </c>
      <c r="D49" s="19">
        <v>1</v>
      </c>
      <c r="E49" s="19">
        <v>7.45</v>
      </c>
    </row>
    <row r="50" spans="1:7" ht="16.5" customHeight="1" x14ac:dyDescent="0.3">
      <c r="A50" s="17">
        <v>6</v>
      </c>
      <c r="B50" s="21">
        <v>4477039</v>
      </c>
      <c r="C50" s="21">
        <v>4265.13</v>
      </c>
      <c r="D50" s="22">
        <v>1.02</v>
      </c>
      <c r="E50" s="22">
        <v>7.45</v>
      </c>
    </row>
    <row r="51" spans="1:7" ht="16.5" customHeight="1" x14ac:dyDescent="0.3">
      <c r="A51" s="23" t="s">
        <v>18</v>
      </c>
      <c r="B51" s="24">
        <f>AVERAGE(B45:B50)</f>
        <v>4477441.833333333</v>
      </c>
      <c r="C51" s="25">
        <f>AVERAGE(C45:C50)</f>
        <v>4117.961666666667</v>
      </c>
      <c r="D51" s="26">
        <f>AVERAGE(D45:D50)</f>
        <v>0.9966666666666667</v>
      </c>
      <c r="E51" s="26">
        <f>AVERAGE(E45:E50)</f>
        <v>7.45</v>
      </c>
    </row>
    <row r="52" spans="1:7" ht="16.5" customHeight="1" x14ac:dyDescent="0.3">
      <c r="A52" s="27" t="s">
        <v>19</v>
      </c>
      <c r="B52" s="28">
        <f>(STDEV(B45:B50)/B51)</f>
        <v>2.0643325306298459E-3</v>
      </c>
      <c r="C52" s="29"/>
      <c r="D52" s="29"/>
      <c r="E52" s="30"/>
    </row>
    <row r="53" spans="1:7" s="218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18" customFormat="1" ht="15.75" customHeight="1" x14ac:dyDescent="0.25">
      <c r="A54" s="36"/>
      <c r="B54" s="36"/>
      <c r="C54" s="36"/>
      <c r="D54" s="36"/>
      <c r="E54" s="36"/>
    </row>
    <row r="55" spans="1:7" s="218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335" t="s">
        <v>144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163"/>
      <c r="D58" s="43"/>
      <c r="F58" s="44"/>
      <c r="G58" s="44"/>
    </row>
    <row r="59" spans="1:7" ht="15" customHeight="1" x14ac:dyDescent="0.3">
      <c r="B59" s="286" t="s">
        <v>26</v>
      </c>
      <c r="C59" s="286"/>
      <c r="E59" s="120" t="s">
        <v>27</v>
      </c>
      <c r="F59" s="113"/>
      <c r="G59" s="120" t="s">
        <v>28</v>
      </c>
    </row>
    <row r="60" spans="1:7" ht="15" customHeight="1" x14ac:dyDescent="0.3">
      <c r="A60" s="119" t="s">
        <v>29</v>
      </c>
      <c r="B60" s="116" t="s">
        <v>142</v>
      </c>
      <c r="C60" s="116"/>
      <c r="E60" s="116"/>
      <c r="G60" s="116"/>
    </row>
    <row r="61" spans="1:7" ht="15" customHeight="1" x14ac:dyDescent="0.3">
      <c r="A61" s="119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19" workbookViewId="0">
      <selection activeCell="G17" sqref="G17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92" t="s">
        <v>31</v>
      </c>
      <c r="B8" s="292"/>
      <c r="C8" s="292"/>
      <c r="D8" s="292"/>
      <c r="E8" s="292"/>
      <c r="F8" s="292"/>
      <c r="G8" s="29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3" t="s">
        <v>32</v>
      </c>
      <c r="B10" s="293"/>
      <c r="C10" s="293"/>
      <c r="D10" s="293"/>
      <c r="E10" s="293"/>
      <c r="F10" s="293"/>
      <c r="G10" s="29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7" t="s">
        <v>33</v>
      </c>
      <c r="B11" s="28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7" t="s">
        <v>34</v>
      </c>
      <c r="B12" s="28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7" t="s">
        <v>35</v>
      </c>
      <c r="B13" s="28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7" t="s">
        <v>36</v>
      </c>
      <c r="B14" s="287"/>
      <c r="C14" s="291" t="s">
        <v>11</v>
      </c>
      <c r="D14" s="291"/>
      <c r="E14" s="291"/>
      <c r="F14" s="291"/>
      <c r="G14" s="29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7" t="s">
        <v>37</v>
      </c>
      <c r="B15" s="28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7" t="s">
        <v>38</v>
      </c>
      <c r="B16" s="28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88" t="s">
        <v>1</v>
      </c>
      <c r="B18" s="288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296.58</v>
      </c>
      <c r="C21" s="83">
        <v>73.510000000000005</v>
      </c>
      <c r="D21" s="84">
        <f t="shared" ref="D21:D40" si="0">B21-C21</f>
        <v>223.07</v>
      </c>
      <c r="E21" s="85">
        <f t="shared" ref="E21:E40" si="1">(D21-$D$43)/$D$43</f>
        <v>3.52031355455213E-4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296.54000000000002</v>
      </c>
      <c r="C22" s="88">
        <v>73.83</v>
      </c>
      <c r="D22" s="89">
        <f t="shared" si="0"/>
        <v>222.71000000000004</v>
      </c>
      <c r="E22" s="85">
        <f t="shared" si="1"/>
        <v>-1.2623799561865168E-3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300.63</v>
      </c>
      <c r="C23" s="88">
        <v>79</v>
      </c>
      <c r="D23" s="89">
        <f t="shared" si="0"/>
        <v>221.63</v>
      </c>
      <c r="E23" s="85">
        <f t="shared" si="1"/>
        <v>-6.1056138911124713E-3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295.70999999999998</v>
      </c>
      <c r="C24" s="88">
        <v>72.5</v>
      </c>
      <c r="D24" s="89">
        <f t="shared" si="0"/>
        <v>223.20999999999998</v>
      </c>
      <c r="E24" s="85">
        <f t="shared" si="1"/>
        <v>9.7985797664923327E-4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296.88</v>
      </c>
      <c r="C25" s="88">
        <v>71.790000000000006</v>
      </c>
      <c r="D25" s="89">
        <f t="shared" si="0"/>
        <v>225.08999999999997</v>
      </c>
      <c r="E25" s="85">
        <f t="shared" si="1"/>
        <v>9.4106726041125917E-3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300.04000000000002</v>
      </c>
      <c r="C26" s="88">
        <v>77.41</v>
      </c>
      <c r="D26" s="89">
        <f t="shared" si="0"/>
        <v>222.63000000000002</v>
      </c>
      <c r="E26" s="85">
        <f t="shared" si="1"/>
        <v>-1.6211380254403337E-3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290.73</v>
      </c>
      <c r="C27" s="88">
        <v>72.42</v>
      </c>
      <c r="D27" s="89">
        <f t="shared" si="0"/>
        <v>218.31</v>
      </c>
      <c r="E27" s="85">
        <f t="shared" si="1"/>
        <v>-2.0994073765143513E-2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296.33999999999997</v>
      </c>
      <c r="C28" s="88">
        <v>73.92</v>
      </c>
      <c r="D28" s="89">
        <f t="shared" si="0"/>
        <v>222.41999999999996</v>
      </c>
      <c r="E28" s="85">
        <f t="shared" si="1"/>
        <v>-2.5628779572317464E-3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295.27999999999997</v>
      </c>
      <c r="C29" s="88">
        <v>71.11</v>
      </c>
      <c r="D29" s="89">
        <f t="shared" si="0"/>
        <v>224.16999999999996</v>
      </c>
      <c r="E29" s="85">
        <f t="shared" si="1"/>
        <v>5.2849548076942705E-3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298.58</v>
      </c>
      <c r="C30" s="88">
        <v>75.77</v>
      </c>
      <c r="D30" s="89">
        <f t="shared" si="0"/>
        <v>222.81</v>
      </c>
      <c r="E30" s="85">
        <f t="shared" si="1"/>
        <v>-8.1393236961946878E-4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295.93</v>
      </c>
      <c r="C31" s="88">
        <v>72.86</v>
      </c>
      <c r="D31" s="89">
        <f t="shared" si="0"/>
        <v>223.07</v>
      </c>
      <c r="E31" s="85">
        <f t="shared" si="1"/>
        <v>3.52031355455213E-4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295.94</v>
      </c>
      <c r="C32" s="88">
        <v>72.86</v>
      </c>
      <c r="D32" s="89">
        <f t="shared" si="0"/>
        <v>223.07999999999998</v>
      </c>
      <c r="E32" s="85">
        <f t="shared" si="1"/>
        <v>3.968761141118923E-4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295.55</v>
      </c>
      <c r="C33" s="88">
        <v>73.819999999999993</v>
      </c>
      <c r="D33" s="89">
        <f t="shared" si="0"/>
        <v>221.73000000000002</v>
      </c>
      <c r="E33" s="85">
        <f t="shared" si="1"/>
        <v>-5.6571663045451677E-3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295.39999999999998</v>
      </c>
      <c r="C34" s="88">
        <v>72.88</v>
      </c>
      <c r="D34" s="89">
        <f t="shared" si="0"/>
        <v>222.51999999999998</v>
      </c>
      <c r="E34" s="85">
        <f t="shared" si="1"/>
        <v>-2.1144303706644432E-3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295.95</v>
      </c>
      <c r="C35" s="88">
        <v>71.69</v>
      </c>
      <c r="D35" s="89">
        <f t="shared" si="0"/>
        <v>224.26</v>
      </c>
      <c r="E35" s="85">
        <f t="shared" si="1"/>
        <v>5.6885576356048946E-3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295.86</v>
      </c>
      <c r="C36" s="88">
        <v>71.62</v>
      </c>
      <c r="D36" s="89">
        <f t="shared" si="0"/>
        <v>224.24</v>
      </c>
      <c r="E36" s="85">
        <f t="shared" si="1"/>
        <v>5.5988681182915362E-3</v>
      </c>
      <c r="G36" s="66"/>
      <c r="H36" s="66"/>
    </row>
    <row r="37" spans="1:15" ht="15" x14ac:dyDescent="0.3">
      <c r="A37" s="86">
        <v>17</v>
      </c>
      <c r="B37" s="90" t="s">
        <v>46</v>
      </c>
      <c r="C37" s="88">
        <v>72.88</v>
      </c>
      <c r="D37" s="89">
        <f t="shared" si="0"/>
        <v>222.98000000000002</v>
      </c>
      <c r="E37" s="85">
        <f t="shared" si="1"/>
        <v>-5.1571472455155718E-5</v>
      </c>
    </row>
    <row r="38" spans="1:15" ht="15" x14ac:dyDescent="0.3">
      <c r="A38" s="86">
        <v>18</v>
      </c>
      <c r="B38" s="90">
        <v>296.47000000000003</v>
      </c>
      <c r="C38" s="88">
        <v>71.47</v>
      </c>
      <c r="D38" s="89">
        <f t="shared" si="0"/>
        <v>225.00000000000003</v>
      </c>
      <c r="E38" s="85">
        <f t="shared" si="1"/>
        <v>9.0070697762023502E-3</v>
      </c>
    </row>
    <row r="39" spans="1:15" ht="15" x14ac:dyDescent="0.3">
      <c r="A39" s="86">
        <v>19</v>
      </c>
      <c r="B39" s="90">
        <v>295.87</v>
      </c>
      <c r="C39" s="88">
        <v>72.42</v>
      </c>
      <c r="D39" s="89">
        <f t="shared" si="0"/>
        <v>223.45</v>
      </c>
      <c r="E39" s="85">
        <f t="shared" si="1"/>
        <v>2.0561321844105563E-3</v>
      </c>
    </row>
    <row r="40" spans="1:15" ht="14.25" customHeight="1" x14ac:dyDescent="0.3">
      <c r="A40" s="91">
        <v>20</v>
      </c>
      <c r="B40" s="92">
        <v>294.92</v>
      </c>
      <c r="C40" s="93">
        <v>71.47</v>
      </c>
      <c r="D40" s="94">
        <f t="shared" si="0"/>
        <v>223.45000000000002</v>
      </c>
      <c r="E40" s="95">
        <f t="shared" si="1"/>
        <v>2.0561321844106838E-3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47</v>
      </c>
      <c r="B42" s="97">
        <f>SUM(B21:B40)</f>
        <v>5629.2</v>
      </c>
      <c r="C42" s="98">
        <f>SUM(C21:C40)</f>
        <v>1465.23</v>
      </c>
      <c r="D42" s="99">
        <f>SUM(D21:D40)</f>
        <v>4459.83</v>
      </c>
    </row>
    <row r="43" spans="1:15" ht="15.75" customHeight="1" x14ac:dyDescent="0.3">
      <c r="A43" s="100" t="s">
        <v>48</v>
      </c>
      <c r="B43" s="101">
        <f>AVERAGE(B21:B40)</f>
        <v>296.27368421052631</v>
      </c>
      <c r="C43" s="102">
        <f>AVERAGE(C21:C40)</f>
        <v>73.261499999999998</v>
      </c>
      <c r="D43" s="103">
        <f>AVERAGE(D21:D40)</f>
        <v>222.9915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48</v>
      </c>
      <c r="C46" s="106" t="s">
        <v>49</v>
      </c>
    </row>
    <row r="47" spans="1:15" ht="15.75" customHeight="1" x14ac:dyDescent="0.3">
      <c r="B47" s="289">
        <f>D43</f>
        <v>222.9915</v>
      </c>
      <c r="C47" s="107">
        <f>-(IF(D43&gt;300, 7.5%, 10%))</f>
        <v>-0.1</v>
      </c>
      <c r="D47" s="108">
        <f>IF(D43&lt;300, D43*0.9, D43*0.925)</f>
        <v>200.69235</v>
      </c>
    </row>
    <row r="48" spans="1:15" ht="15.75" customHeight="1" x14ac:dyDescent="0.3">
      <c r="B48" s="290"/>
      <c r="C48" s="109">
        <f>+(IF(D43&gt;300, 7.5%, 10%))</f>
        <v>0.1</v>
      </c>
      <c r="D48" s="108">
        <f>IF(D43&lt;300, D43*1.1, D43*1.075)</f>
        <v>245.29065000000003</v>
      </c>
    </row>
    <row r="49" spans="1:7" ht="14.25" customHeight="1" x14ac:dyDescent="0.3">
      <c r="A49" s="110"/>
      <c r="D49" s="111"/>
    </row>
    <row r="50" spans="1:7" ht="15" customHeight="1" x14ac:dyDescent="0.3">
      <c r="B50" s="286" t="s">
        <v>26</v>
      </c>
      <c r="C50" s="28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7" priority="1" operator="notBetween">
      <formula>IF(+$D$43&lt;300, -10.5%, -7.5%)</formula>
      <formula>IF(+$D$43&lt;300, 10.5%, 7.5%)</formula>
    </cfRule>
  </conditionalFormatting>
  <conditionalFormatting sqref="E22">
    <cfRule type="cellIs" dxfId="36" priority="2" operator="notBetween">
      <formula>IF(+$D$43&lt;300, -10.5%, -7.5%)</formula>
      <formula>IF(+$D$43&lt;300, 10.5%, 7.5%)</formula>
    </cfRule>
  </conditionalFormatting>
  <conditionalFormatting sqref="E23">
    <cfRule type="cellIs" dxfId="35" priority="3" operator="notBetween">
      <formula>IF(+$D$43&lt;300, -10.5%, -7.5%)</formula>
      <formula>IF(+$D$43&lt;300, 10.5%, 7.5%)</formula>
    </cfRule>
  </conditionalFormatting>
  <conditionalFormatting sqref="E24">
    <cfRule type="cellIs" dxfId="34" priority="4" operator="notBetween">
      <formula>IF(+$D$43&lt;300, -10.5%, -7.5%)</formula>
      <formula>IF(+$D$43&lt;300, 10.5%, 7.5%)</formula>
    </cfRule>
  </conditionalFormatting>
  <conditionalFormatting sqref="E25">
    <cfRule type="cellIs" dxfId="33" priority="5" operator="notBetween">
      <formula>IF(+$D$43&lt;300, -10.5%, -7.5%)</formula>
      <formula>IF(+$D$43&lt;300, 10.5%, 7.5%)</formula>
    </cfRule>
  </conditionalFormatting>
  <conditionalFormatting sqref="E26">
    <cfRule type="cellIs" dxfId="32" priority="6" operator="notBetween">
      <formula>IF(+$D$43&lt;300, -10.5%, -7.5%)</formula>
      <formula>IF(+$D$43&lt;300, 10.5%, 7.5%)</formula>
    </cfRule>
  </conditionalFormatting>
  <conditionalFormatting sqref="E27">
    <cfRule type="cellIs" dxfId="31" priority="7" operator="notBetween">
      <formula>IF(+$D$43&lt;300, -10.5%, -7.5%)</formula>
      <formula>IF(+$D$43&lt;300, 10.5%, 7.5%)</formula>
    </cfRule>
  </conditionalFormatting>
  <conditionalFormatting sqref="E28">
    <cfRule type="cellIs" dxfId="30" priority="8" operator="notBetween">
      <formula>IF(+$D$43&lt;300, -10.5%, -7.5%)</formula>
      <formula>IF(+$D$43&lt;300, 10.5%, 7.5%)</formula>
    </cfRule>
  </conditionalFormatting>
  <conditionalFormatting sqref="E29">
    <cfRule type="cellIs" dxfId="29" priority="9" operator="notBetween">
      <formula>IF(+$D$43&lt;300, -10.5%, -7.5%)</formula>
      <formula>IF(+$D$43&lt;300, 10.5%, 7.5%)</formula>
    </cfRule>
  </conditionalFormatting>
  <conditionalFormatting sqref="E30">
    <cfRule type="cellIs" dxfId="28" priority="10" operator="notBetween">
      <formula>IF(+$D$43&lt;300, -10.5%, -7.5%)</formula>
      <formula>IF(+$D$43&lt;300, 10.5%, 7.5%)</formula>
    </cfRule>
  </conditionalFormatting>
  <conditionalFormatting sqref="E31">
    <cfRule type="cellIs" dxfId="27" priority="11" operator="notBetween">
      <formula>IF(+$D$43&lt;300, -10.5%, -7.5%)</formula>
      <formula>IF(+$D$43&lt;300, 10.5%, 7.5%)</formula>
    </cfRule>
  </conditionalFormatting>
  <conditionalFormatting sqref="E32">
    <cfRule type="cellIs" dxfId="26" priority="12" operator="notBetween">
      <formula>IF(+$D$43&lt;300, -10.5%, -7.5%)</formula>
      <formula>IF(+$D$43&lt;300, 10.5%, 7.5%)</formula>
    </cfRule>
  </conditionalFormatting>
  <conditionalFormatting sqref="E33">
    <cfRule type="cellIs" dxfId="25" priority="13" operator="notBetween">
      <formula>IF(+$D$43&lt;300, -10.5%, -7.5%)</formula>
      <formula>IF(+$D$43&lt;300, 10.5%, 7.5%)</formula>
    </cfRule>
  </conditionalFormatting>
  <conditionalFormatting sqref="E34">
    <cfRule type="cellIs" dxfId="24" priority="14" operator="notBetween">
      <formula>IF(+$D$43&lt;300, -10.5%, -7.5%)</formula>
      <formula>IF(+$D$43&lt;300, 10.5%, 7.5%)</formula>
    </cfRule>
  </conditionalFormatting>
  <conditionalFormatting sqref="E35">
    <cfRule type="cellIs" dxfId="23" priority="15" operator="notBetween">
      <formula>IF(+$D$43&lt;300, -10.5%, -7.5%)</formula>
      <formula>IF(+$D$43&lt;300, 10.5%, 7.5%)</formula>
    </cfRule>
  </conditionalFormatting>
  <conditionalFormatting sqref="E36">
    <cfRule type="cellIs" dxfId="22" priority="16" operator="notBetween">
      <formula>IF(+$D$43&lt;300, -10.5%, -7.5%)</formula>
      <formula>IF(+$D$43&lt;300, 10.5%, 7.5%)</formula>
    </cfRule>
  </conditionalFormatting>
  <conditionalFormatting sqref="E37">
    <cfRule type="cellIs" dxfId="21" priority="17" operator="notBetween">
      <formula>IF(+$D$43&lt;300, -10.5%, -7.5%)</formula>
      <formula>IF(+$D$43&lt;300, 10.5%, 7.5%)</formula>
    </cfRule>
  </conditionalFormatting>
  <conditionalFormatting sqref="E38">
    <cfRule type="cellIs" dxfId="20" priority="18" operator="notBetween">
      <formula>IF(+$D$43&lt;300, -10.5%, -7.5%)</formula>
      <formula>IF(+$D$43&lt;300, 10.5%, 7.5%)</formula>
    </cfRule>
  </conditionalFormatting>
  <conditionalFormatting sqref="E39">
    <cfRule type="cellIs" dxfId="19" priority="19" operator="notBetween">
      <formula>IF(+$D$43&lt;300, -10.5%, -7.5%)</formula>
      <formula>IF(+$D$43&lt;300, 10.5%, 7.5%)</formula>
    </cfRule>
  </conditionalFormatting>
  <conditionalFormatting sqref="E40">
    <cfRule type="cellIs" dxfId="1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4" sqref="A24"/>
    </sheetView>
  </sheetViews>
  <sheetFormatPr defaultColWidth="9.140625" defaultRowHeight="13.5" x14ac:dyDescent="0.25"/>
  <cols>
    <col min="1" max="1" width="55.42578125" style="218" customWidth="1"/>
    <col min="2" max="2" width="33.7109375" style="218" customWidth="1"/>
    <col min="3" max="3" width="42.28515625" style="218" customWidth="1"/>
    <col min="4" max="4" width="30.5703125" style="218" customWidth="1"/>
    <col min="5" max="5" width="39.85546875" style="218" customWidth="1"/>
    <col min="6" max="6" width="30.7109375" style="218" customWidth="1"/>
    <col min="7" max="7" width="39.85546875" style="218" customWidth="1"/>
    <col min="8" max="8" width="30" style="218" customWidth="1"/>
    <col min="9" max="9" width="30.28515625" style="218" hidden="1" customWidth="1"/>
    <col min="10" max="10" width="30.42578125" style="218" customWidth="1"/>
    <col min="11" max="11" width="21.28515625" style="218" customWidth="1"/>
    <col min="12" max="12" width="9.140625" style="218"/>
    <col min="13" max="16384" width="9.140625" style="44"/>
  </cols>
  <sheetData>
    <row r="1" spans="1:9" ht="18.75" customHeight="1" x14ac:dyDescent="0.25">
      <c r="A1" s="324" t="s">
        <v>50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51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thickBot="1" x14ac:dyDescent="0.35">
      <c r="A15" s="200"/>
    </row>
    <row r="16" spans="1:9" ht="19.5" customHeight="1" thickBo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52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121" t="s">
        <v>33</v>
      </c>
      <c r="B18" s="296" t="s">
        <v>5</v>
      </c>
      <c r="C18" s="296"/>
      <c r="D18" s="241"/>
      <c r="E18" s="122"/>
      <c r="F18" s="249"/>
      <c r="G18" s="249"/>
      <c r="H18" s="249"/>
    </row>
    <row r="19" spans="1:14" ht="26.25" customHeight="1" x14ac:dyDescent="0.4">
      <c r="A19" s="121" t="s">
        <v>34</v>
      </c>
      <c r="B19" s="282" t="s">
        <v>7</v>
      </c>
      <c r="C19" s="249">
        <v>1</v>
      </c>
      <c r="D19" s="249"/>
      <c r="E19" s="249"/>
      <c r="F19" s="249"/>
      <c r="G19" s="249"/>
      <c r="H19" s="249"/>
    </row>
    <row r="20" spans="1:14" ht="26.25" customHeight="1" x14ac:dyDescent="0.4">
      <c r="A20" s="121" t="s">
        <v>35</v>
      </c>
      <c r="B20" s="301" t="s">
        <v>140</v>
      </c>
      <c r="C20" s="301"/>
      <c r="D20" s="249"/>
      <c r="E20" s="249"/>
      <c r="F20" s="249"/>
      <c r="G20" s="249"/>
      <c r="H20" s="249"/>
    </row>
    <row r="21" spans="1:14" ht="26.25" customHeight="1" x14ac:dyDescent="0.4">
      <c r="A21" s="121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23"/>
    </row>
    <row r="22" spans="1:14" ht="26.25" customHeight="1" x14ac:dyDescent="0.4">
      <c r="A22" s="121" t="s">
        <v>37</v>
      </c>
      <c r="B22" s="124">
        <v>42809</v>
      </c>
      <c r="C22" s="249"/>
      <c r="D22" s="249"/>
      <c r="E22" s="249"/>
      <c r="F22" s="249"/>
      <c r="G22" s="249"/>
      <c r="H22" s="249"/>
    </row>
    <row r="23" spans="1:14" ht="26.25" customHeight="1" x14ac:dyDescent="0.4">
      <c r="A23" s="121" t="s">
        <v>38</v>
      </c>
      <c r="B23" s="124">
        <v>42815</v>
      </c>
      <c r="C23" s="249"/>
      <c r="D23" s="249"/>
      <c r="E23" s="249"/>
      <c r="F23" s="249"/>
      <c r="G23" s="249"/>
      <c r="H23" s="249"/>
    </row>
    <row r="24" spans="1:14" ht="18.75" x14ac:dyDescent="0.3">
      <c r="A24" s="121"/>
      <c r="B24" s="125"/>
    </row>
    <row r="25" spans="1:14" ht="18.75" x14ac:dyDescent="0.3">
      <c r="A25" s="126" t="s">
        <v>1</v>
      </c>
      <c r="B25" s="125"/>
    </row>
    <row r="26" spans="1:14" ht="26.25" customHeight="1" x14ac:dyDescent="0.4">
      <c r="A26" s="236" t="s">
        <v>4</v>
      </c>
      <c r="B26" s="296" t="s">
        <v>138</v>
      </c>
      <c r="C26" s="296"/>
    </row>
    <row r="27" spans="1:14" ht="26.25" customHeight="1" x14ac:dyDescent="0.4">
      <c r="A27" s="207" t="s">
        <v>53</v>
      </c>
      <c r="B27" s="302" t="s">
        <v>139</v>
      </c>
      <c r="C27" s="302"/>
    </row>
    <row r="28" spans="1:14" ht="27" customHeight="1" thickBot="1" x14ac:dyDescent="0.45">
      <c r="A28" s="207" t="s">
        <v>6</v>
      </c>
      <c r="B28" s="202">
        <v>99.8</v>
      </c>
    </row>
    <row r="29" spans="1:14" s="16" customFormat="1" ht="27" customHeight="1" thickBot="1" x14ac:dyDescent="0.45">
      <c r="A29" s="207" t="s">
        <v>54</v>
      </c>
      <c r="B29" s="127">
        <v>0</v>
      </c>
      <c r="C29" s="303" t="s">
        <v>55</v>
      </c>
      <c r="D29" s="304"/>
      <c r="E29" s="304"/>
      <c r="F29" s="304"/>
      <c r="G29" s="305"/>
      <c r="I29" s="128"/>
      <c r="J29" s="128"/>
      <c r="K29" s="128"/>
      <c r="L29" s="128"/>
    </row>
    <row r="30" spans="1:14" s="16" customFormat="1" ht="19.5" customHeight="1" thickBot="1" x14ac:dyDescent="0.35">
      <c r="A30" s="207" t="s">
        <v>56</v>
      </c>
      <c r="B30" s="278">
        <f>B28-B29</f>
        <v>99.8</v>
      </c>
      <c r="C30" s="129"/>
      <c r="D30" s="129"/>
      <c r="E30" s="129"/>
      <c r="F30" s="129"/>
      <c r="G30" s="130"/>
      <c r="I30" s="128"/>
      <c r="J30" s="128"/>
      <c r="K30" s="128"/>
      <c r="L30" s="128"/>
    </row>
    <row r="31" spans="1:14" s="16" customFormat="1" ht="27" customHeight="1" thickBot="1" x14ac:dyDescent="0.45">
      <c r="A31" s="207" t="s">
        <v>57</v>
      </c>
      <c r="B31" s="131">
        <v>1</v>
      </c>
      <c r="C31" s="306" t="s">
        <v>58</v>
      </c>
      <c r="D31" s="307"/>
      <c r="E31" s="307"/>
      <c r="F31" s="307"/>
      <c r="G31" s="307"/>
      <c r="H31" s="308"/>
      <c r="I31" s="128"/>
      <c r="J31" s="128"/>
      <c r="K31" s="128"/>
      <c r="L31" s="128"/>
    </row>
    <row r="32" spans="1:14" s="16" customFormat="1" ht="27" customHeight="1" thickBot="1" x14ac:dyDescent="0.45">
      <c r="A32" s="207" t="s">
        <v>59</v>
      </c>
      <c r="B32" s="131">
        <v>1</v>
      </c>
      <c r="C32" s="306" t="s">
        <v>60</v>
      </c>
      <c r="D32" s="307"/>
      <c r="E32" s="307"/>
      <c r="F32" s="307"/>
      <c r="G32" s="307"/>
      <c r="H32" s="308"/>
      <c r="I32" s="128"/>
      <c r="J32" s="128"/>
      <c r="K32" s="128"/>
      <c r="L32" s="132"/>
      <c r="M32" s="132"/>
      <c r="N32" s="133"/>
    </row>
    <row r="33" spans="1:14" s="16" customFormat="1" ht="17.25" customHeight="1" x14ac:dyDescent="0.3">
      <c r="A33" s="207"/>
      <c r="B33" s="134"/>
      <c r="C33" s="135"/>
      <c r="D33" s="135"/>
      <c r="E33" s="135"/>
      <c r="F33" s="135"/>
      <c r="G33" s="135"/>
      <c r="H33" s="135"/>
      <c r="I33" s="128"/>
      <c r="J33" s="128"/>
      <c r="K33" s="128"/>
      <c r="L33" s="132"/>
      <c r="M33" s="132"/>
      <c r="N33" s="133"/>
    </row>
    <row r="34" spans="1:14" s="16" customFormat="1" ht="18.75" x14ac:dyDescent="0.3">
      <c r="A34" s="207" t="s">
        <v>61</v>
      </c>
      <c r="B34" s="136">
        <f>B31/B32</f>
        <v>1</v>
      </c>
      <c r="C34" s="200" t="s">
        <v>62</v>
      </c>
      <c r="D34" s="200"/>
      <c r="E34" s="200"/>
      <c r="F34" s="200"/>
      <c r="G34" s="200"/>
      <c r="I34" s="128"/>
      <c r="J34" s="128"/>
      <c r="K34" s="128"/>
      <c r="L34" s="132"/>
      <c r="M34" s="132"/>
      <c r="N34" s="133"/>
    </row>
    <row r="35" spans="1:14" s="16" customFormat="1" ht="19.5" customHeight="1" thickBot="1" x14ac:dyDescent="0.35">
      <c r="A35" s="207"/>
      <c r="B35" s="278"/>
      <c r="G35" s="200"/>
      <c r="I35" s="128"/>
      <c r="J35" s="128"/>
      <c r="K35" s="128"/>
      <c r="L35" s="132"/>
      <c r="M35" s="132"/>
      <c r="N35" s="133"/>
    </row>
    <row r="36" spans="1:14" s="16" customFormat="1" ht="27" customHeight="1" thickBot="1" x14ac:dyDescent="0.45">
      <c r="A36" s="137" t="s">
        <v>63</v>
      </c>
      <c r="B36" s="138">
        <v>10</v>
      </c>
      <c r="C36" s="200"/>
      <c r="D36" s="309" t="s">
        <v>64</v>
      </c>
      <c r="E36" s="310"/>
      <c r="F36" s="309" t="s">
        <v>65</v>
      </c>
      <c r="G36" s="311"/>
      <c r="J36" s="128"/>
      <c r="K36" s="128"/>
      <c r="L36" s="132"/>
      <c r="M36" s="132"/>
      <c r="N36" s="133"/>
    </row>
    <row r="37" spans="1:14" s="16" customFormat="1" ht="27" customHeight="1" thickBot="1" x14ac:dyDescent="0.45">
      <c r="A37" s="139" t="s">
        <v>66</v>
      </c>
      <c r="B37" s="140">
        <v>4</v>
      </c>
      <c r="C37" s="141" t="s">
        <v>67</v>
      </c>
      <c r="D37" s="142" t="s">
        <v>68</v>
      </c>
      <c r="E37" s="143" t="s">
        <v>69</v>
      </c>
      <c r="F37" s="142" t="s">
        <v>68</v>
      </c>
      <c r="G37" s="144" t="s">
        <v>69</v>
      </c>
      <c r="I37" s="145" t="s">
        <v>70</v>
      </c>
      <c r="J37" s="128"/>
      <c r="K37" s="128"/>
      <c r="L37" s="132"/>
      <c r="M37" s="132"/>
      <c r="N37" s="133"/>
    </row>
    <row r="38" spans="1:14" s="16" customFormat="1" ht="26.25" customHeight="1" x14ac:dyDescent="0.4">
      <c r="A38" s="139" t="s">
        <v>71</v>
      </c>
      <c r="B38" s="140">
        <v>100</v>
      </c>
      <c r="C38" s="146">
        <v>1</v>
      </c>
      <c r="D38" s="147">
        <v>24339169</v>
      </c>
      <c r="E38" s="148">
        <f>IF(ISBLANK(D38),"-",$D$48/$D$45*D38)</f>
        <v>24923806.734572876</v>
      </c>
      <c r="F38" s="147">
        <v>22008044</v>
      </c>
      <c r="G38" s="149">
        <f>IF(ISBLANK(F38),"-",$D$48/$F$45*F38)</f>
        <v>25073505.738025226</v>
      </c>
      <c r="I38" s="150"/>
      <c r="J38" s="128"/>
      <c r="K38" s="128"/>
      <c r="L38" s="132"/>
      <c r="M38" s="132"/>
      <c r="N38" s="133"/>
    </row>
    <row r="39" spans="1:14" s="16" customFormat="1" ht="26.25" customHeight="1" x14ac:dyDescent="0.4">
      <c r="A39" s="139" t="s">
        <v>72</v>
      </c>
      <c r="B39" s="140">
        <v>1</v>
      </c>
      <c r="C39" s="168">
        <v>2</v>
      </c>
      <c r="D39" s="151">
        <v>24343352</v>
      </c>
      <c r="E39" s="152">
        <f>IF(ISBLANK(D39),"-",$D$48/$D$45*D39)</f>
        <v>24928090.212105356</v>
      </c>
      <c r="F39" s="151">
        <v>21985377</v>
      </c>
      <c r="G39" s="153">
        <f>IF(ISBLANK(F39),"-",$D$48/$F$45*F39)</f>
        <v>25047681.491465021</v>
      </c>
      <c r="I39" s="313">
        <f>ABS((F43/D43*D42)-F42)/D42</f>
        <v>3.466723822812125E-3</v>
      </c>
      <c r="J39" s="128"/>
      <c r="K39" s="128"/>
      <c r="L39" s="132"/>
      <c r="M39" s="132"/>
      <c r="N39" s="133"/>
    </row>
    <row r="40" spans="1:14" ht="26.25" customHeight="1" x14ac:dyDescent="0.4">
      <c r="A40" s="139" t="s">
        <v>73</v>
      </c>
      <c r="B40" s="140">
        <v>1</v>
      </c>
      <c r="C40" s="168">
        <v>3</v>
      </c>
      <c r="D40" s="151">
        <v>24434411</v>
      </c>
      <c r="E40" s="152">
        <f>IF(ISBLANK(D40),"-",$D$48/$D$45*D40)</f>
        <v>25021336.490047034</v>
      </c>
      <c r="F40" s="151">
        <v>21979362</v>
      </c>
      <c r="G40" s="153">
        <f>IF(ISBLANK(F40),"-",$D$48/$F$45*F40)</f>
        <v>25040828.672695022</v>
      </c>
      <c r="I40" s="313"/>
      <c r="L40" s="132"/>
      <c r="M40" s="132"/>
      <c r="N40" s="200"/>
    </row>
    <row r="41" spans="1:14" ht="27" customHeight="1" thickBot="1" x14ac:dyDescent="0.45">
      <c r="A41" s="139" t="s">
        <v>74</v>
      </c>
      <c r="B41" s="140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I41" s="158"/>
      <c r="L41" s="132"/>
      <c r="M41" s="132"/>
      <c r="N41" s="200"/>
    </row>
    <row r="42" spans="1:14" ht="27" customHeight="1" thickBot="1" x14ac:dyDescent="0.45">
      <c r="A42" s="139" t="s">
        <v>75</v>
      </c>
      <c r="B42" s="140">
        <v>1</v>
      </c>
      <c r="C42" s="159" t="s">
        <v>76</v>
      </c>
      <c r="D42" s="160">
        <f>AVERAGE(D38:D41)</f>
        <v>24372310.666666668</v>
      </c>
      <c r="E42" s="161">
        <f>AVERAGE(E38:E41)</f>
        <v>24957744.478908423</v>
      </c>
      <c r="F42" s="160">
        <f>AVERAGE(F38:F41)</f>
        <v>21990927.666666668</v>
      </c>
      <c r="G42" s="162">
        <f>AVERAGE(G38:G41)</f>
        <v>25054005.300728425</v>
      </c>
      <c r="H42" s="163"/>
    </row>
    <row r="43" spans="1:14" ht="26.25" customHeight="1" x14ac:dyDescent="0.4">
      <c r="A43" s="139" t="s">
        <v>77</v>
      </c>
      <c r="B43" s="140">
        <v>1</v>
      </c>
      <c r="C43" s="164" t="s">
        <v>78</v>
      </c>
      <c r="D43" s="165">
        <v>19.57</v>
      </c>
      <c r="E43" s="200"/>
      <c r="F43" s="165">
        <v>17.59</v>
      </c>
      <c r="H43" s="163"/>
    </row>
    <row r="44" spans="1:14" ht="26.25" customHeight="1" x14ac:dyDescent="0.4">
      <c r="A44" s="139" t="s">
        <v>79</v>
      </c>
      <c r="B44" s="140">
        <v>1</v>
      </c>
      <c r="C44" s="166" t="s">
        <v>80</v>
      </c>
      <c r="D44" s="167">
        <f>D43*$B$34</f>
        <v>19.57</v>
      </c>
      <c r="E44" s="215"/>
      <c r="F44" s="167">
        <f>F43*$B$34</f>
        <v>17.59</v>
      </c>
      <c r="H44" s="163"/>
    </row>
    <row r="45" spans="1:14" ht="19.5" customHeight="1" thickBot="1" x14ac:dyDescent="0.35">
      <c r="A45" s="139" t="s">
        <v>81</v>
      </c>
      <c r="B45" s="168">
        <f>(B44/B43)*(B42/B41)*(B40/B39)*(B38/B37)*B36</f>
        <v>250</v>
      </c>
      <c r="C45" s="166" t="s">
        <v>82</v>
      </c>
      <c r="D45" s="169">
        <f>D44*$B$30/100</f>
        <v>19.530860000000001</v>
      </c>
      <c r="E45" s="197"/>
      <c r="F45" s="169">
        <f>F44*$B$30/100</f>
        <v>17.554819999999999</v>
      </c>
      <c r="H45" s="163"/>
    </row>
    <row r="46" spans="1:14" ht="19.5" customHeight="1" thickBot="1" x14ac:dyDescent="0.35">
      <c r="A46" s="314" t="s">
        <v>83</v>
      </c>
      <c r="B46" s="315"/>
      <c r="C46" s="166" t="s">
        <v>84</v>
      </c>
      <c r="D46" s="170">
        <f>D45/$B$45</f>
        <v>7.8123440000000002E-2</v>
      </c>
      <c r="E46" s="171"/>
      <c r="F46" s="172">
        <f>F45/$B$45</f>
        <v>7.0219279999999995E-2</v>
      </c>
      <c r="H46" s="163"/>
    </row>
    <row r="47" spans="1:14" ht="27" customHeight="1" thickBot="1" x14ac:dyDescent="0.45">
      <c r="A47" s="316"/>
      <c r="B47" s="317"/>
      <c r="C47" s="173" t="s">
        <v>85</v>
      </c>
      <c r="D47" s="174">
        <v>0.08</v>
      </c>
      <c r="E47" s="175"/>
      <c r="F47" s="171"/>
      <c r="H47" s="163"/>
    </row>
    <row r="48" spans="1:14" ht="18.75" x14ac:dyDescent="0.3">
      <c r="C48" s="176" t="s">
        <v>86</v>
      </c>
      <c r="D48" s="169">
        <f>D47*$B$45</f>
        <v>20</v>
      </c>
      <c r="F48" s="177"/>
      <c r="H48" s="163"/>
    </row>
    <row r="49" spans="1:12" ht="19.5" customHeight="1" thickBot="1" x14ac:dyDescent="0.35">
      <c r="C49" s="178" t="s">
        <v>87</v>
      </c>
      <c r="D49" s="179">
        <f>D48/B34</f>
        <v>20</v>
      </c>
      <c r="F49" s="177"/>
      <c r="H49" s="163"/>
    </row>
    <row r="50" spans="1:12" ht="18.75" x14ac:dyDescent="0.3">
      <c r="C50" s="137" t="s">
        <v>88</v>
      </c>
      <c r="D50" s="180">
        <f>AVERAGE(E38:E41,G38:G41)</f>
        <v>25005874.889818426</v>
      </c>
      <c r="F50" s="181"/>
      <c r="H50" s="163"/>
    </row>
    <row r="51" spans="1:12" ht="18.75" x14ac:dyDescent="0.3">
      <c r="C51" s="139" t="s">
        <v>89</v>
      </c>
      <c r="D51" s="182">
        <f>STDEV(E38:E41,G38:G41)/D50</f>
        <v>2.5649031994394896E-3</v>
      </c>
      <c r="F51" s="181"/>
      <c r="H51" s="163"/>
    </row>
    <row r="52" spans="1:12" ht="19.5" customHeight="1" thickBot="1" x14ac:dyDescent="0.35">
      <c r="C52" s="183" t="s">
        <v>20</v>
      </c>
      <c r="D52" s="184">
        <f>COUNT(E38:E41,G38:G41)</f>
        <v>6</v>
      </c>
      <c r="F52" s="181"/>
    </row>
    <row r="54" spans="1:12" ht="18.75" x14ac:dyDescent="0.3">
      <c r="A54" s="185" t="s">
        <v>1</v>
      </c>
      <c r="B54" s="186" t="s">
        <v>90</v>
      </c>
    </row>
    <row r="55" spans="1:12" ht="18.75" x14ac:dyDescent="0.3">
      <c r="A55" s="200" t="s">
        <v>91</v>
      </c>
      <c r="B55" s="187" t="str">
        <f>B21</f>
        <v>Each contains Lopinavir USP 40MG Ritonavir USP 10 MG</v>
      </c>
    </row>
    <row r="56" spans="1:12" ht="26.25" customHeight="1" x14ac:dyDescent="0.4">
      <c r="A56" s="187" t="s">
        <v>92</v>
      </c>
      <c r="B56" s="188">
        <v>40</v>
      </c>
      <c r="C56" s="200" t="str">
        <f>B20</f>
        <v xml:space="preserve">Lopinavir </v>
      </c>
      <c r="H56" s="215"/>
    </row>
    <row r="57" spans="1:12" ht="18.75" x14ac:dyDescent="0.3">
      <c r="A57" s="187" t="s">
        <v>93</v>
      </c>
      <c r="B57" s="242">
        <f>Uniformity!D43</f>
        <v>222.9915</v>
      </c>
      <c r="H57" s="215"/>
    </row>
    <row r="58" spans="1:12" ht="19.5" customHeight="1" thickBot="1" x14ac:dyDescent="0.35">
      <c r="H58" s="215"/>
    </row>
    <row r="59" spans="1:12" s="16" customFormat="1" ht="27" customHeight="1" thickBot="1" x14ac:dyDescent="0.45">
      <c r="A59" s="137" t="s">
        <v>94</v>
      </c>
      <c r="B59" s="138">
        <v>100</v>
      </c>
      <c r="C59" s="200"/>
      <c r="D59" s="189" t="s">
        <v>95</v>
      </c>
      <c r="E59" s="264" t="s">
        <v>67</v>
      </c>
      <c r="F59" s="264" t="s">
        <v>68</v>
      </c>
      <c r="G59" s="264" t="s">
        <v>96</v>
      </c>
      <c r="H59" s="141" t="s">
        <v>97</v>
      </c>
      <c r="L59" s="128"/>
    </row>
    <row r="60" spans="1:12" s="16" customFormat="1" ht="26.25" customHeight="1" x14ac:dyDescent="0.4">
      <c r="A60" s="139" t="s">
        <v>98</v>
      </c>
      <c r="B60" s="140">
        <v>10</v>
      </c>
      <c r="C60" s="318" t="s">
        <v>99</v>
      </c>
      <c r="D60" s="321">
        <v>454.95</v>
      </c>
      <c r="E60" s="269">
        <v>1</v>
      </c>
      <c r="F60" s="190">
        <v>26044102</v>
      </c>
      <c r="G60" s="243">
        <f>IF(ISBLANK(F60),"-",(F60/$D$50*$D$47*$B$68)*($B$57/$D$60))</f>
        <v>40.839645170498969</v>
      </c>
      <c r="H60" s="260">
        <f t="shared" ref="H60:H71" si="0">IF(ISBLANK(F60),"-",(G60/$B$56)*100)</f>
        <v>102.09911292624743</v>
      </c>
      <c r="L60" s="128"/>
    </row>
    <row r="61" spans="1:12" s="16" customFormat="1" ht="26.25" customHeight="1" x14ac:dyDescent="0.4">
      <c r="A61" s="139" t="s">
        <v>100</v>
      </c>
      <c r="B61" s="140">
        <v>100</v>
      </c>
      <c r="C61" s="319"/>
      <c r="D61" s="322"/>
      <c r="E61" s="265">
        <v>2</v>
      </c>
      <c r="F61" s="151">
        <v>25920010</v>
      </c>
      <c r="G61" s="244">
        <f>IF(ISBLANK(F61),"-",(F61/$D$50*$D$47*$B$68)*($B$57/$D$60))</f>
        <v>40.645057035016407</v>
      </c>
      <c r="H61" s="261">
        <f t="shared" si="0"/>
        <v>101.61264258754102</v>
      </c>
      <c r="L61" s="128"/>
    </row>
    <row r="62" spans="1:12" s="16" customFormat="1" ht="26.25" customHeight="1" x14ac:dyDescent="0.4">
      <c r="A62" s="139" t="s">
        <v>101</v>
      </c>
      <c r="B62" s="140">
        <v>1</v>
      </c>
      <c r="C62" s="319"/>
      <c r="D62" s="322"/>
      <c r="E62" s="265">
        <v>3</v>
      </c>
      <c r="F62" s="191">
        <v>25989861</v>
      </c>
      <c r="G62" s="244">
        <f>IF(ISBLANK(F62),"-",(F62/$D$50*$D$47*$B$68)*($B$57/$D$60))</f>
        <v>40.754590089940116</v>
      </c>
      <c r="H62" s="261">
        <f t="shared" si="0"/>
        <v>101.88647522485029</v>
      </c>
      <c r="L62" s="128"/>
    </row>
    <row r="63" spans="1:12" ht="27" customHeight="1" thickBot="1" x14ac:dyDescent="0.45">
      <c r="A63" s="139" t="s">
        <v>102</v>
      </c>
      <c r="B63" s="140">
        <v>1</v>
      </c>
      <c r="C63" s="320"/>
      <c r="D63" s="323"/>
      <c r="E63" s="266">
        <v>4</v>
      </c>
      <c r="F63" s="192"/>
      <c r="G63" s="244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139" t="s">
        <v>103</v>
      </c>
      <c r="B64" s="140">
        <v>1</v>
      </c>
      <c r="C64" s="318" t="s">
        <v>104</v>
      </c>
      <c r="D64" s="321">
        <v>443.76</v>
      </c>
      <c r="E64" s="269">
        <v>1</v>
      </c>
      <c r="F64" s="190">
        <v>25350024</v>
      </c>
      <c r="G64" s="243">
        <f>IF(ISBLANK(F64),"-",(F64/$D$50*$D$47*$B$68)*($B$57/$D$64))</f>
        <v>40.753645548451679</v>
      </c>
      <c r="H64" s="260">
        <f t="shared" si="0"/>
        <v>101.88411387112919</v>
      </c>
    </row>
    <row r="65" spans="1:8" ht="26.25" customHeight="1" x14ac:dyDescent="0.4">
      <c r="A65" s="139" t="s">
        <v>105</v>
      </c>
      <c r="B65" s="140">
        <v>1</v>
      </c>
      <c r="C65" s="319"/>
      <c r="D65" s="322"/>
      <c r="E65" s="265">
        <v>2</v>
      </c>
      <c r="F65" s="151">
        <v>25341483</v>
      </c>
      <c r="G65" s="244">
        <f>IF(ISBLANK(F65),"-",(F65/$D$50*$D$47*$B$68)*($B$57/$D$64))</f>
        <v>40.739914717797269</v>
      </c>
      <c r="H65" s="261">
        <f t="shared" si="0"/>
        <v>101.84978679449317</v>
      </c>
    </row>
    <row r="66" spans="1:8" ht="26.25" customHeight="1" x14ac:dyDescent="0.4">
      <c r="A66" s="139" t="s">
        <v>106</v>
      </c>
      <c r="B66" s="140">
        <v>1</v>
      </c>
      <c r="C66" s="319"/>
      <c r="D66" s="322"/>
      <c r="E66" s="265">
        <v>3</v>
      </c>
      <c r="F66" s="151">
        <v>25449262</v>
      </c>
      <c r="G66" s="244">
        <f>IF(ISBLANK(F66),"-",(F66/$D$50*$D$47*$B$68)*($B$57/$D$64))</f>
        <v>40.913184264349432</v>
      </c>
      <c r="H66" s="261">
        <f t="shared" si="0"/>
        <v>102.28296066087358</v>
      </c>
    </row>
    <row r="67" spans="1:8" ht="27" customHeight="1" thickBot="1" x14ac:dyDescent="0.45">
      <c r="A67" s="139" t="s">
        <v>107</v>
      </c>
      <c r="B67" s="140">
        <v>1</v>
      </c>
      <c r="C67" s="320"/>
      <c r="D67" s="323"/>
      <c r="E67" s="266">
        <v>4</v>
      </c>
      <c r="F67" s="192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4">
      <c r="A68" s="139" t="s">
        <v>108</v>
      </c>
      <c r="B68" s="193">
        <f>(B67/B66)*(B65/B64)*(B63/B62)*(B61/B60)*B59</f>
        <v>1000</v>
      </c>
      <c r="C68" s="318" t="s">
        <v>109</v>
      </c>
      <c r="D68" s="321">
        <v>435.94</v>
      </c>
      <c r="E68" s="269">
        <v>1</v>
      </c>
      <c r="F68" s="190">
        <v>24947919</v>
      </c>
      <c r="G68" s="243">
        <f>IF(ISBLANK(F68),"-",(F68/$D$50*$D$47*$B$68)*($B$57/$D$68))</f>
        <v>40.826659562234951</v>
      </c>
      <c r="H68" s="261">
        <f t="shared" si="0"/>
        <v>102.06664890558739</v>
      </c>
    </row>
    <row r="69" spans="1:8" ht="27" customHeight="1" thickBot="1" x14ac:dyDescent="0.45">
      <c r="A69" s="183" t="s">
        <v>110</v>
      </c>
      <c r="B69" s="194">
        <f>(D47*B68)/B56*B57</f>
        <v>445.983</v>
      </c>
      <c r="C69" s="319"/>
      <c r="D69" s="322"/>
      <c r="E69" s="265">
        <v>2</v>
      </c>
      <c r="F69" s="151">
        <v>24887445</v>
      </c>
      <c r="G69" s="244">
        <f>IF(ISBLANK(F69),"-",(F69/$D$50*$D$47*$B$68)*($B$57/$D$68))</f>
        <v>40.727695339593105</v>
      </c>
      <c r="H69" s="261">
        <f t="shared" si="0"/>
        <v>101.81923834898276</v>
      </c>
    </row>
    <row r="70" spans="1:8" ht="26.25" customHeight="1" x14ac:dyDescent="0.4">
      <c r="A70" s="331" t="s">
        <v>83</v>
      </c>
      <c r="B70" s="332"/>
      <c r="C70" s="319"/>
      <c r="D70" s="322"/>
      <c r="E70" s="265">
        <v>3</v>
      </c>
      <c r="F70" s="151">
        <v>24940873</v>
      </c>
      <c r="G70" s="244">
        <f>IF(ISBLANK(F70),"-",(F70/$D$50*$D$47*$B$68)*($B$57/$D$68))</f>
        <v>40.815128955482713</v>
      </c>
      <c r="H70" s="261">
        <f t="shared" si="0"/>
        <v>102.03782238870677</v>
      </c>
    </row>
    <row r="71" spans="1:8" ht="27" customHeight="1" thickBot="1" x14ac:dyDescent="0.45">
      <c r="A71" s="333"/>
      <c r="B71" s="334"/>
      <c r="C71" s="330"/>
      <c r="D71" s="323"/>
      <c r="E71" s="266">
        <v>4</v>
      </c>
      <c r="F71" s="192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">
      <c r="A72" s="215"/>
      <c r="B72" s="215"/>
      <c r="C72" s="215"/>
      <c r="D72" s="215"/>
      <c r="E72" s="215"/>
      <c r="F72" s="195" t="s">
        <v>76</v>
      </c>
      <c r="G72" s="248">
        <f>AVERAGE(G60:G71)</f>
        <v>40.779502298151627</v>
      </c>
      <c r="H72" s="263">
        <f>AVERAGE(H60:H71)</f>
        <v>101.94875574537906</v>
      </c>
    </row>
    <row r="73" spans="1:8" ht="26.25" customHeight="1" x14ac:dyDescent="0.4">
      <c r="C73" s="215"/>
      <c r="D73" s="215"/>
      <c r="E73" s="215"/>
      <c r="F73" s="196" t="s">
        <v>89</v>
      </c>
      <c r="G73" s="250">
        <f>STDEV(G60:G71)/G72</f>
        <v>1.9112505170522907E-3</v>
      </c>
      <c r="H73" s="250">
        <f>STDEV(H60:H71)/H72</f>
        <v>1.9112505170523096E-3</v>
      </c>
    </row>
    <row r="74" spans="1:8" ht="27" customHeight="1" thickBot="1" x14ac:dyDescent="0.45">
      <c r="A74" s="215"/>
      <c r="B74" s="215"/>
      <c r="C74" s="215"/>
      <c r="D74" s="215"/>
      <c r="E74" s="197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236" t="s">
        <v>111</v>
      </c>
      <c r="B76" s="207" t="s">
        <v>112</v>
      </c>
      <c r="C76" s="326" t="str">
        <f>B26</f>
        <v>Lopinavir</v>
      </c>
      <c r="D76" s="326"/>
      <c r="E76" s="200" t="s">
        <v>113</v>
      </c>
      <c r="F76" s="200"/>
      <c r="G76" s="201">
        <f>H72</f>
        <v>101.94875574537906</v>
      </c>
      <c r="H76" s="278"/>
    </row>
    <row r="77" spans="1:8" ht="18.75" x14ac:dyDescent="0.3">
      <c r="A77" s="126" t="s">
        <v>114</v>
      </c>
      <c r="B77" s="126" t="s">
        <v>115</v>
      </c>
    </row>
    <row r="78" spans="1:8" ht="18.75" x14ac:dyDescent="0.3">
      <c r="A78" s="126"/>
      <c r="B78" s="126"/>
    </row>
    <row r="79" spans="1:8" ht="26.25" customHeight="1" x14ac:dyDescent="0.4">
      <c r="A79" s="236" t="s">
        <v>4</v>
      </c>
      <c r="B79" s="312" t="str">
        <f>B26</f>
        <v>Lopinavir</v>
      </c>
      <c r="C79" s="312"/>
    </row>
    <row r="80" spans="1:8" ht="26.25" customHeight="1" x14ac:dyDescent="0.4">
      <c r="A80" s="207" t="s">
        <v>53</v>
      </c>
      <c r="B80" s="312" t="str">
        <f>B27</f>
        <v>L20-2</v>
      </c>
      <c r="C80" s="312"/>
    </row>
    <row r="81" spans="1:12" ht="27" customHeight="1" thickBot="1" x14ac:dyDescent="0.45">
      <c r="A81" s="207" t="s">
        <v>6</v>
      </c>
      <c r="B81" s="202">
        <f>B28</f>
        <v>99.8</v>
      </c>
    </row>
    <row r="82" spans="1:12" s="16" customFormat="1" ht="27" customHeight="1" thickBot="1" x14ac:dyDescent="0.45">
      <c r="A82" s="207" t="s">
        <v>54</v>
      </c>
      <c r="B82" s="127">
        <v>0</v>
      </c>
      <c r="C82" s="303" t="s">
        <v>55</v>
      </c>
      <c r="D82" s="304"/>
      <c r="E82" s="304"/>
      <c r="F82" s="304"/>
      <c r="G82" s="305"/>
      <c r="I82" s="128"/>
      <c r="J82" s="128"/>
      <c r="K82" s="128"/>
      <c r="L82" s="128"/>
    </row>
    <row r="83" spans="1:12" s="16" customFormat="1" ht="19.5" customHeight="1" thickBot="1" x14ac:dyDescent="0.35">
      <c r="A83" s="207" t="s">
        <v>56</v>
      </c>
      <c r="B83" s="278">
        <f>B81-B82</f>
        <v>99.8</v>
      </c>
      <c r="C83" s="129"/>
      <c r="D83" s="129"/>
      <c r="E83" s="129"/>
      <c r="F83" s="129"/>
      <c r="G83" s="130"/>
      <c r="I83" s="128"/>
      <c r="J83" s="128"/>
      <c r="K83" s="128"/>
      <c r="L83" s="128"/>
    </row>
    <row r="84" spans="1:12" s="16" customFormat="1" ht="27" customHeight="1" thickBot="1" x14ac:dyDescent="0.45">
      <c r="A84" s="207" t="s">
        <v>57</v>
      </c>
      <c r="B84" s="131">
        <v>1</v>
      </c>
      <c r="C84" s="306" t="s">
        <v>116</v>
      </c>
      <c r="D84" s="307"/>
      <c r="E84" s="307"/>
      <c r="F84" s="307"/>
      <c r="G84" s="307"/>
      <c r="H84" s="308"/>
      <c r="I84" s="128"/>
      <c r="J84" s="128"/>
      <c r="K84" s="128"/>
      <c r="L84" s="128"/>
    </row>
    <row r="85" spans="1:12" s="16" customFormat="1" ht="27" customHeight="1" thickBot="1" x14ac:dyDescent="0.45">
      <c r="A85" s="207" t="s">
        <v>59</v>
      </c>
      <c r="B85" s="131">
        <v>1</v>
      </c>
      <c r="C85" s="306" t="s">
        <v>117</v>
      </c>
      <c r="D85" s="307"/>
      <c r="E85" s="307"/>
      <c r="F85" s="307"/>
      <c r="G85" s="307"/>
      <c r="H85" s="308"/>
      <c r="I85" s="128"/>
      <c r="J85" s="128"/>
      <c r="K85" s="128"/>
      <c r="L85" s="128"/>
    </row>
    <row r="86" spans="1:12" s="16" customFormat="1" ht="18.75" x14ac:dyDescent="0.3">
      <c r="A86" s="207"/>
      <c r="B86" s="134"/>
      <c r="C86" s="135"/>
      <c r="D86" s="135"/>
      <c r="E86" s="135"/>
      <c r="F86" s="135"/>
      <c r="G86" s="135"/>
      <c r="H86" s="135"/>
      <c r="I86" s="128"/>
      <c r="J86" s="128"/>
      <c r="K86" s="128"/>
      <c r="L86" s="128"/>
    </row>
    <row r="87" spans="1:12" s="16" customFormat="1" ht="18.75" x14ac:dyDescent="0.3">
      <c r="A87" s="207" t="s">
        <v>61</v>
      </c>
      <c r="B87" s="136">
        <f>B84/B85</f>
        <v>1</v>
      </c>
      <c r="C87" s="200" t="s">
        <v>62</v>
      </c>
      <c r="D87" s="200"/>
      <c r="E87" s="200"/>
      <c r="F87" s="200"/>
      <c r="G87" s="200"/>
      <c r="I87" s="128"/>
      <c r="J87" s="128"/>
      <c r="K87" s="128"/>
      <c r="L87" s="128"/>
    </row>
    <row r="88" spans="1:12" ht="19.5" customHeight="1" thickBot="1" x14ac:dyDescent="0.35">
      <c r="A88" s="126"/>
      <c r="B88" s="126"/>
    </row>
    <row r="89" spans="1:12" ht="27" customHeight="1" thickBot="1" x14ac:dyDescent="0.45">
      <c r="A89" s="137" t="s">
        <v>63</v>
      </c>
      <c r="B89" s="138">
        <v>10</v>
      </c>
      <c r="D89" s="280" t="s">
        <v>64</v>
      </c>
      <c r="E89" s="283"/>
      <c r="F89" s="309" t="s">
        <v>65</v>
      </c>
      <c r="G89" s="311"/>
    </row>
    <row r="90" spans="1:12" ht="27" customHeight="1" thickBot="1" x14ac:dyDescent="0.45">
      <c r="A90" s="139" t="s">
        <v>66</v>
      </c>
      <c r="B90" s="140">
        <v>4</v>
      </c>
      <c r="C90" s="279" t="s">
        <v>67</v>
      </c>
      <c r="D90" s="142" t="s">
        <v>68</v>
      </c>
      <c r="E90" s="143" t="s">
        <v>69</v>
      </c>
      <c r="F90" s="142" t="s">
        <v>68</v>
      </c>
      <c r="G90" s="203" t="s">
        <v>69</v>
      </c>
      <c r="I90" s="145" t="s">
        <v>70</v>
      </c>
    </row>
    <row r="91" spans="1:12" ht="26.25" customHeight="1" x14ac:dyDescent="0.4">
      <c r="A91" s="139" t="s">
        <v>71</v>
      </c>
      <c r="B91" s="140">
        <v>100</v>
      </c>
      <c r="C91" s="204">
        <v>1</v>
      </c>
      <c r="D91" s="147">
        <v>22901871</v>
      </c>
      <c r="E91" s="148">
        <f>IF(ISBLANK(D91),"-",$D$101/$D$98*D91)</f>
        <v>24728196.69511437</v>
      </c>
      <c r="F91" s="147">
        <v>23339016</v>
      </c>
      <c r="G91" s="149">
        <f>IF(ISBLANK(F91),"-",$D$101/$F$98*F91)</f>
        <v>24707646.672108084</v>
      </c>
      <c r="I91" s="150"/>
    </row>
    <row r="92" spans="1:12" ht="26.25" customHeight="1" x14ac:dyDescent="0.4">
      <c r="A92" s="139" t="s">
        <v>72</v>
      </c>
      <c r="B92" s="140">
        <v>1</v>
      </c>
      <c r="C92" s="215">
        <v>2</v>
      </c>
      <c r="D92" s="151">
        <v>22909487</v>
      </c>
      <c r="E92" s="152">
        <f>IF(ISBLANK(D92),"-",$D$101/$D$98*D92)</f>
        <v>24736420.038352571</v>
      </c>
      <c r="F92" s="151">
        <v>23449281</v>
      </c>
      <c r="G92" s="153">
        <f>IF(ISBLANK(F92),"-",$D$101/$F$98*F92)</f>
        <v>24824377.757098988</v>
      </c>
      <c r="I92" s="313">
        <f>ABS((F96/D96*D95)-F95)/D95</f>
        <v>1.2887866651445463E-3</v>
      </c>
    </row>
    <row r="93" spans="1:12" ht="26.25" customHeight="1" x14ac:dyDescent="0.4">
      <c r="A93" s="139" t="s">
        <v>73</v>
      </c>
      <c r="B93" s="140">
        <v>1</v>
      </c>
      <c r="C93" s="215">
        <v>3</v>
      </c>
      <c r="D93" s="151">
        <v>22891147</v>
      </c>
      <c r="E93" s="152">
        <f>IF(ISBLANK(D93),"-",$D$101/$D$98*D93)</f>
        <v>24716617.502245873</v>
      </c>
      <c r="F93" s="151">
        <v>23372359</v>
      </c>
      <c r="G93" s="153">
        <f>IF(ISBLANK(F93),"-",$D$101/$F$98*F93)</f>
        <v>24742944.949592795</v>
      </c>
      <c r="I93" s="313"/>
    </row>
    <row r="94" spans="1:12" ht="27" customHeight="1" thickBot="1" x14ac:dyDescent="0.45">
      <c r="A94" s="139" t="s">
        <v>74</v>
      </c>
      <c r="B94" s="140">
        <v>1</v>
      </c>
      <c r="C94" s="205">
        <v>4</v>
      </c>
      <c r="D94" s="155"/>
      <c r="E94" s="156" t="str">
        <f>IF(ISBLANK(D94),"-",$D$101/$D$98*D94)</f>
        <v>-</v>
      </c>
      <c r="F94" s="206"/>
      <c r="G94" s="157" t="str">
        <f>IF(ISBLANK(F94),"-",$D$101/$F$98*F94)</f>
        <v>-</v>
      </c>
      <c r="I94" s="158"/>
    </row>
    <row r="95" spans="1:12" ht="27" customHeight="1" thickBot="1" x14ac:dyDescent="0.45">
      <c r="A95" s="139" t="s">
        <v>75</v>
      </c>
      <c r="B95" s="140">
        <v>1</v>
      </c>
      <c r="C95" s="207" t="s">
        <v>76</v>
      </c>
      <c r="D95" s="208">
        <f>AVERAGE(D91:D94)</f>
        <v>22900835</v>
      </c>
      <c r="E95" s="161">
        <f>AVERAGE(E91:E94)</f>
        <v>24727078.078570936</v>
      </c>
      <c r="F95" s="209">
        <f>AVERAGE(F91:F94)</f>
        <v>23386885.333333332</v>
      </c>
      <c r="G95" s="210">
        <f>AVERAGE(G91:G94)</f>
        <v>24758323.126266625</v>
      </c>
    </row>
    <row r="96" spans="1:12" ht="26.25" customHeight="1" x14ac:dyDescent="0.4">
      <c r="A96" s="139" t="s">
        <v>77</v>
      </c>
      <c r="B96" s="202">
        <v>1</v>
      </c>
      <c r="C96" s="211" t="s">
        <v>118</v>
      </c>
      <c r="D96" s="212">
        <v>18.559999999999999</v>
      </c>
      <c r="E96" s="200"/>
      <c r="F96" s="165">
        <v>18.93</v>
      </c>
    </row>
    <row r="97" spans="1:10" ht="26.25" customHeight="1" x14ac:dyDescent="0.4">
      <c r="A97" s="139" t="s">
        <v>79</v>
      </c>
      <c r="B97" s="202">
        <v>1</v>
      </c>
      <c r="C97" s="213" t="s">
        <v>119</v>
      </c>
      <c r="D97" s="214">
        <f>D96*$B$87</f>
        <v>18.559999999999999</v>
      </c>
      <c r="E97" s="215"/>
      <c r="F97" s="167">
        <f>F96*$B$87</f>
        <v>18.93</v>
      </c>
    </row>
    <row r="98" spans="1:10" ht="19.5" customHeight="1" thickBot="1" x14ac:dyDescent="0.35">
      <c r="A98" s="139" t="s">
        <v>81</v>
      </c>
      <c r="B98" s="215">
        <f>(B97/B96)*(B95/B94)*(B93/B92)*(B91/B90)*B89</f>
        <v>250</v>
      </c>
      <c r="C98" s="213" t="s">
        <v>120</v>
      </c>
      <c r="D98" s="216">
        <f>D97*$B$83/100</f>
        <v>18.522879999999997</v>
      </c>
      <c r="E98" s="197"/>
      <c r="F98" s="169">
        <f>F97*$B$83/100</f>
        <v>18.892139999999998</v>
      </c>
    </row>
    <row r="99" spans="1:10" ht="19.5" customHeight="1" thickBot="1" x14ac:dyDescent="0.35">
      <c r="A99" s="314" t="s">
        <v>83</v>
      </c>
      <c r="B99" s="328"/>
      <c r="C99" s="213" t="s">
        <v>121</v>
      </c>
      <c r="D99" s="217">
        <f>D98/$B$98</f>
        <v>7.4091519999999994E-2</v>
      </c>
      <c r="E99" s="197"/>
      <c r="F99" s="172">
        <f>F98/$B$98</f>
        <v>7.5568559999999993E-2</v>
      </c>
      <c r="H99" s="163"/>
    </row>
    <row r="100" spans="1:10" ht="19.5" customHeight="1" thickBot="1" x14ac:dyDescent="0.35">
      <c r="A100" s="316"/>
      <c r="B100" s="329"/>
      <c r="C100" s="213" t="s">
        <v>85</v>
      </c>
      <c r="D100" s="219">
        <f>$B$56/$B$116</f>
        <v>0.08</v>
      </c>
      <c r="F100" s="177"/>
      <c r="G100" s="225"/>
      <c r="H100" s="163"/>
    </row>
    <row r="101" spans="1:10" ht="18.75" x14ac:dyDescent="0.3">
      <c r="C101" s="213" t="s">
        <v>86</v>
      </c>
      <c r="D101" s="214">
        <f>D100*$B$98</f>
        <v>20</v>
      </c>
      <c r="F101" s="177"/>
      <c r="H101" s="163"/>
    </row>
    <row r="102" spans="1:10" ht="19.5" customHeight="1" thickBot="1" x14ac:dyDescent="0.35">
      <c r="C102" s="220" t="s">
        <v>87</v>
      </c>
      <c r="D102" s="221">
        <f>D101/B34</f>
        <v>20</v>
      </c>
      <c r="F102" s="181"/>
      <c r="H102" s="163"/>
      <c r="J102" s="222"/>
    </row>
    <row r="103" spans="1:10" ht="18.75" x14ac:dyDescent="0.3">
      <c r="C103" s="223" t="s">
        <v>122</v>
      </c>
      <c r="D103" s="224">
        <f>AVERAGE(E91:E94,G91:G94)</f>
        <v>24742700.60241878</v>
      </c>
      <c r="F103" s="181"/>
      <c r="G103" s="225"/>
      <c r="H103" s="163"/>
      <c r="J103" s="226"/>
    </row>
    <row r="104" spans="1:10" ht="18.75" x14ac:dyDescent="0.3">
      <c r="C104" s="196" t="s">
        <v>89</v>
      </c>
      <c r="D104" s="227">
        <f>STDEV(E91:E94,G91:G94)/D103</f>
        <v>1.6984450556686167E-3</v>
      </c>
      <c r="F104" s="181"/>
      <c r="H104" s="163"/>
      <c r="J104" s="226"/>
    </row>
    <row r="105" spans="1:10" ht="19.5" customHeight="1" thickBot="1" x14ac:dyDescent="0.35">
      <c r="C105" s="198" t="s">
        <v>20</v>
      </c>
      <c r="D105" s="228">
        <f>COUNT(E91:E94,G91:G94)</f>
        <v>6</v>
      </c>
      <c r="F105" s="181"/>
      <c r="H105" s="163"/>
      <c r="J105" s="226"/>
    </row>
    <row r="106" spans="1:10" ht="19.5" customHeight="1" thickBot="1" x14ac:dyDescent="0.35">
      <c r="A106" s="185"/>
      <c r="B106" s="185"/>
      <c r="C106" s="185"/>
      <c r="D106" s="185"/>
      <c r="E106" s="185"/>
    </row>
    <row r="107" spans="1:10" ht="27" customHeight="1" thickBot="1" x14ac:dyDescent="0.45">
      <c r="A107" s="137" t="s">
        <v>123</v>
      </c>
      <c r="B107" s="138">
        <v>500</v>
      </c>
      <c r="C107" s="264" t="s">
        <v>124</v>
      </c>
      <c r="D107" s="264" t="s">
        <v>68</v>
      </c>
      <c r="E107" s="264" t="s">
        <v>125</v>
      </c>
      <c r="F107" s="229" t="s">
        <v>126</v>
      </c>
    </row>
    <row r="108" spans="1:10" ht="26.25" customHeight="1" x14ac:dyDescent="0.4">
      <c r="A108" s="139" t="s">
        <v>127</v>
      </c>
      <c r="B108" s="140">
        <v>1</v>
      </c>
      <c r="C108" s="269">
        <v>1</v>
      </c>
      <c r="D108" s="270">
        <v>22996660</v>
      </c>
      <c r="E108" s="245">
        <f t="shared" ref="E108:E113" si="1">IF(ISBLANK(D108),"-",D108/$D$103*$D$100*$B$116)</f>
        <v>37.17728370807172</v>
      </c>
      <c r="F108" s="271">
        <f t="shared" ref="F108:F113" si="2">IF(ISBLANK(D108), "-", (E108/$B$56)*100)</f>
        <v>92.943209270179295</v>
      </c>
    </row>
    <row r="109" spans="1:10" ht="26.25" customHeight="1" x14ac:dyDescent="0.4">
      <c r="A109" s="139" t="s">
        <v>100</v>
      </c>
      <c r="B109" s="140">
        <v>1</v>
      </c>
      <c r="C109" s="265">
        <v>2</v>
      </c>
      <c r="D109" s="267">
        <v>23785811</v>
      </c>
      <c r="E109" s="246">
        <f t="shared" si="1"/>
        <v>38.453055520826631</v>
      </c>
      <c r="F109" s="273">
        <f t="shared" si="2"/>
        <v>96.132638802066566</v>
      </c>
    </row>
    <row r="110" spans="1:10" ht="26.25" customHeight="1" x14ac:dyDescent="0.4">
      <c r="A110" s="139" t="s">
        <v>101</v>
      </c>
      <c r="B110" s="140">
        <v>1</v>
      </c>
      <c r="C110" s="265">
        <v>3</v>
      </c>
      <c r="D110" s="267">
        <v>23909758</v>
      </c>
      <c r="E110" s="246">
        <f t="shared" si="1"/>
        <v>38.653433001024389</v>
      </c>
      <c r="F110" s="273">
        <f t="shared" si="2"/>
        <v>96.633582502560984</v>
      </c>
    </row>
    <row r="111" spans="1:10" ht="26.25" customHeight="1" x14ac:dyDescent="0.4">
      <c r="A111" s="139" t="s">
        <v>102</v>
      </c>
      <c r="B111" s="140">
        <v>1</v>
      </c>
      <c r="C111" s="265">
        <v>4</v>
      </c>
      <c r="D111" s="267">
        <v>22638723</v>
      </c>
      <c r="E111" s="246">
        <f t="shared" si="1"/>
        <v>36.598629007840636</v>
      </c>
      <c r="F111" s="273">
        <f t="shared" si="2"/>
        <v>91.4965725196016</v>
      </c>
    </row>
    <row r="112" spans="1:10" ht="26.25" customHeight="1" x14ac:dyDescent="0.4">
      <c r="A112" s="139" t="s">
        <v>103</v>
      </c>
      <c r="B112" s="140">
        <v>1</v>
      </c>
      <c r="C112" s="265">
        <v>5</v>
      </c>
      <c r="D112" s="267">
        <v>23551719</v>
      </c>
      <c r="E112" s="246">
        <f t="shared" si="1"/>
        <v>38.074613403676146</v>
      </c>
      <c r="F112" s="273">
        <f t="shared" si="2"/>
        <v>95.186533509190369</v>
      </c>
    </row>
    <row r="113" spans="1:10" ht="27" customHeight="1" thickBot="1" x14ac:dyDescent="0.45">
      <c r="A113" s="139" t="s">
        <v>105</v>
      </c>
      <c r="B113" s="140">
        <v>1</v>
      </c>
      <c r="C113" s="266">
        <v>6</v>
      </c>
      <c r="D113" s="268">
        <v>23058237</v>
      </c>
      <c r="E113" s="247">
        <f t="shared" si="1"/>
        <v>37.276831451043606</v>
      </c>
      <c r="F113" s="272">
        <f t="shared" si="2"/>
        <v>93.192078627609007</v>
      </c>
    </row>
    <row r="114" spans="1:10" ht="27" customHeight="1" thickBot="1" x14ac:dyDescent="0.45">
      <c r="A114" s="139" t="s">
        <v>106</v>
      </c>
      <c r="B114" s="140">
        <v>1</v>
      </c>
      <c r="C114" s="230"/>
      <c r="D114" s="215"/>
      <c r="E114" s="200"/>
      <c r="F114" s="273"/>
    </row>
    <row r="115" spans="1:10" ht="26.25" customHeight="1" x14ac:dyDescent="0.4">
      <c r="A115" s="139" t="s">
        <v>107</v>
      </c>
      <c r="B115" s="140">
        <v>1</v>
      </c>
      <c r="C115" s="230"/>
      <c r="D115" s="251" t="s">
        <v>76</v>
      </c>
      <c r="E115" s="253">
        <f>AVERAGE(E108:E113)</f>
        <v>37.705641015413853</v>
      </c>
      <c r="F115" s="274">
        <f>AVERAGE(F108:F113)</f>
        <v>94.264102538534644</v>
      </c>
    </row>
    <row r="116" spans="1:10" ht="27" customHeight="1" thickBot="1" x14ac:dyDescent="0.45">
      <c r="A116" s="139" t="s">
        <v>108</v>
      </c>
      <c r="B116" s="168">
        <f>(B115/B114)*(B113/B112)*(B111/B110)*(B109/B108)*B107</f>
        <v>500</v>
      </c>
      <c r="C116" s="231"/>
      <c r="D116" s="252" t="s">
        <v>89</v>
      </c>
      <c r="E116" s="250">
        <f>STDEV(E108:E113)/E115</f>
        <v>2.148577647377585E-2</v>
      </c>
      <c r="F116" s="232">
        <f>STDEV(F108:F113)/F115</f>
        <v>2.1485776473775836E-2</v>
      </c>
      <c r="I116" s="200"/>
    </row>
    <row r="117" spans="1:10" ht="27" customHeight="1" thickBot="1" x14ac:dyDescent="0.45">
      <c r="A117" s="314" t="s">
        <v>83</v>
      </c>
      <c r="B117" s="315"/>
      <c r="C117" s="233"/>
      <c r="D117" s="198" t="s">
        <v>20</v>
      </c>
      <c r="E117" s="255">
        <f>COUNT(E108:E113)</f>
        <v>6</v>
      </c>
      <c r="F117" s="256">
        <f>COUNT(F108:F113)</f>
        <v>6</v>
      </c>
      <c r="I117" s="200"/>
      <c r="J117" s="226"/>
    </row>
    <row r="118" spans="1:10" ht="26.25" customHeight="1" thickBot="1" x14ac:dyDescent="0.35">
      <c r="A118" s="316"/>
      <c r="B118" s="317"/>
      <c r="C118" s="200"/>
      <c r="D118" s="254"/>
      <c r="E118" s="294" t="s">
        <v>128</v>
      </c>
      <c r="F118" s="295"/>
      <c r="G118" s="200"/>
      <c r="H118" s="200"/>
      <c r="I118" s="200"/>
    </row>
    <row r="119" spans="1:10" ht="25.5" customHeight="1" x14ac:dyDescent="0.4">
      <c r="A119" s="240"/>
      <c r="B119" s="135"/>
      <c r="C119" s="200"/>
      <c r="D119" s="252" t="s">
        <v>129</v>
      </c>
      <c r="E119" s="257">
        <f>MIN(E108:E113)</f>
        <v>36.598629007840636</v>
      </c>
      <c r="F119" s="275">
        <f>MIN(F108:F113)</f>
        <v>91.4965725196016</v>
      </c>
      <c r="G119" s="200"/>
      <c r="H119" s="200"/>
      <c r="I119" s="200"/>
    </row>
    <row r="120" spans="1:10" ht="24" customHeight="1" thickBot="1" x14ac:dyDescent="0.45">
      <c r="A120" s="240"/>
      <c r="B120" s="135"/>
      <c r="C120" s="200"/>
      <c r="D120" s="178" t="s">
        <v>130</v>
      </c>
      <c r="E120" s="258">
        <f>MAX(E108:E113)</f>
        <v>38.653433001024389</v>
      </c>
      <c r="F120" s="276">
        <f>MAX(F108:F113)</f>
        <v>96.633582502560984</v>
      </c>
      <c r="G120" s="200"/>
      <c r="H120" s="200"/>
      <c r="I120" s="200"/>
    </row>
    <row r="121" spans="1:10" ht="27" customHeight="1" x14ac:dyDescent="0.3">
      <c r="A121" s="240"/>
      <c r="B121" s="135"/>
      <c r="C121" s="200"/>
      <c r="D121" s="200"/>
      <c r="E121" s="200"/>
      <c r="F121" s="215"/>
      <c r="G121" s="200"/>
      <c r="H121" s="200"/>
      <c r="I121" s="200"/>
    </row>
    <row r="122" spans="1:10" ht="25.5" customHeight="1" x14ac:dyDescent="0.3">
      <c r="A122" s="240"/>
      <c r="B122" s="135"/>
      <c r="C122" s="200"/>
      <c r="D122" s="200"/>
      <c r="E122" s="200"/>
      <c r="F122" s="215"/>
      <c r="G122" s="200"/>
      <c r="H122" s="200"/>
      <c r="I122" s="200"/>
    </row>
    <row r="123" spans="1:10" ht="18.75" x14ac:dyDescent="0.3">
      <c r="A123" s="240"/>
      <c r="B123" s="135"/>
      <c r="C123" s="200"/>
      <c r="D123" s="200"/>
      <c r="E123" s="200"/>
      <c r="F123" s="215"/>
      <c r="G123" s="200"/>
      <c r="H123" s="200"/>
      <c r="I123" s="200"/>
    </row>
    <row r="124" spans="1:10" ht="45.75" customHeight="1" x14ac:dyDescent="0.65">
      <c r="A124" s="236" t="s">
        <v>111</v>
      </c>
      <c r="B124" s="207" t="s">
        <v>131</v>
      </c>
      <c r="C124" s="326" t="str">
        <f>B26</f>
        <v>Lopinavir</v>
      </c>
      <c r="D124" s="326"/>
      <c r="E124" s="200" t="s">
        <v>132</v>
      </c>
      <c r="F124" s="200"/>
      <c r="G124" s="277">
        <f>F115</f>
        <v>94.264102538534644</v>
      </c>
      <c r="H124" s="200"/>
      <c r="I124" s="200"/>
    </row>
    <row r="125" spans="1:10" ht="45.75" customHeight="1" x14ac:dyDescent="0.65">
      <c r="A125" s="236"/>
      <c r="B125" s="207" t="s">
        <v>133</v>
      </c>
      <c r="C125" s="207" t="s">
        <v>134</v>
      </c>
      <c r="D125" s="277">
        <f>MIN(F108:F113)</f>
        <v>91.4965725196016</v>
      </c>
      <c r="E125" s="207" t="s">
        <v>135</v>
      </c>
      <c r="F125" s="277">
        <f>MAX(F108:F113)</f>
        <v>96.633582502560984</v>
      </c>
      <c r="G125" s="201"/>
      <c r="H125" s="200"/>
      <c r="I125" s="200"/>
    </row>
    <row r="126" spans="1:10" ht="19.5" customHeight="1" thickBot="1" x14ac:dyDescent="0.35">
      <c r="A126" s="281"/>
      <c r="B126" s="281"/>
      <c r="C126" s="234"/>
      <c r="D126" s="234"/>
      <c r="E126" s="234"/>
      <c r="F126" s="234"/>
      <c r="G126" s="234"/>
      <c r="H126" s="234"/>
    </row>
    <row r="127" spans="1:10" ht="18.75" x14ac:dyDescent="0.3">
      <c r="B127" s="327" t="s">
        <v>26</v>
      </c>
      <c r="C127" s="327"/>
      <c r="E127" s="279" t="s">
        <v>27</v>
      </c>
      <c r="F127" s="235"/>
      <c r="G127" s="327" t="s">
        <v>28</v>
      </c>
      <c r="H127" s="327"/>
    </row>
    <row r="128" spans="1:10" ht="69.95" customHeight="1" x14ac:dyDescent="0.3">
      <c r="A128" s="236" t="s">
        <v>29</v>
      </c>
      <c r="B128" s="237"/>
      <c r="C128" s="237"/>
      <c r="E128" s="237"/>
      <c r="F128" s="200"/>
      <c r="G128" s="237"/>
      <c r="H128" s="237"/>
    </row>
    <row r="129" spans="1:9" ht="69.95" customHeight="1" x14ac:dyDescent="0.3">
      <c r="A129" s="236" t="s">
        <v>30</v>
      </c>
      <c r="B129" s="238"/>
      <c r="C129" s="238"/>
      <c r="E129" s="238"/>
      <c r="F129" s="200"/>
      <c r="G129" s="239"/>
      <c r="H129" s="239"/>
    </row>
    <row r="130" spans="1:9" ht="18.75" x14ac:dyDescent="0.3">
      <c r="A130" s="215"/>
      <c r="B130" s="215"/>
      <c r="C130" s="215"/>
      <c r="D130" s="215"/>
      <c r="E130" s="215"/>
      <c r="F130" s="197"/>
      <c r="G130" s="215"/>
      <c r="H130" s="215"/>
      <c r="I130" s="200"/>
    </row>
    <row r="131" spans="1:9" ht="18.75" x14ac:dyDescent="0.3">
      <c r="A131" s="215"/>
      <c r="B131" s="215"/>
      <c r="C131" s="215"/>
      <c r="D131" s="215"/>
      <c r="E131" s="215"/>
      <c r="F131" s="197"/>
      <c r="G131" s="215"/>
      <c r="H131" s="215"/>
      <c r="I131" s="200"/>
    </row>
    <row r="132" spans="1:9" ht="18.75" x14ac:dyDescent="0.3">
      <c r="A132" s="215"/>
      <c r="B132" s="215"/>
      <c r="C132" s="215"/>
      <c r="D132" s="215"/>
      <c r="E132" s="215"/>
      <c r="F132" s="197"/>
      <c r="G132" s="215"/>
      <c r="H132" s="215"/>
      <c r="I132" s="200"/>
    </row>
    <row r="133" spans="1:9" ht="18.75" x14ac:dyDescent="0.3">
      <c r="A133" s="215"/>
      <c r="B133" s="215"/>
      <c r="C133" s="215"/>
      <c r="D133" s="215"/>
      <c r="E133" s="215"/>
      <c r="F133" s="197"/>
      <c r="G133" s="215"/>
      <c r="H133" s="215"/>
      <c r="I133" s="200"/>
    </row>
    <row r="134" spans="1:9" ht="18.75" x14ac:dyDescent="0.3">
      <c r="A134" s="215"/>
      <c r="B134" s="215"/>
      <c r="C134" s="215"/>
      <c r="D134" s="215"/>
      <c r="E134" s="215"/>
      <c r="F134" s="197"/>
      <c r="G134" s="215"/>
      <c r="H134" s="215"/>
      <c r="I134" s="200"/>
    </row>
    <row r="135" spans="1:9" ht="18.75" x14ac:dyDescent="0.3">
      <c r="A135" s="215"/>
      <c r="B135" s="215"/>
      <c r="C135" s="215"/>
      <c r="D135" s="215"/>
      <c r="E135" s="215"/>
      <c r="F135" s="197"/>
      <c r="G135" s="215"/>
      <c r="H135" s="215"/>
      <c r="I135" s="200"/>
    </row>
    <row r="136" spans="1:9" ht="18.75" x14ac:dyDescent="0.3">
      <c r="A136" s="215"/>
      <c r="B136" s="215"/>
      <c r="C136" s="215"/>
      <c r="D136" s="215"/>
      <c r="E136" s="215"/>
      <c r="F136" s="197"/>
      <c r="G136" s="215"/>
      <c r="H136" s="215"/>
      <c r="I136" s="200"/>
    </row>
    <row r="137" spans="1:9" ht="18.75" x14ac:dyDescent="0.3">
      <c r="A137" s="215"/>
      <c r="B137" s="215"/>
      <c r="C137" s="215"/>
      <c r="D137" s="215"/>
      <c r="E137" s="215"/>
      <c r="F137" s="197"/>
      <c r="G137" s="215"/>
      <c r="H137" s="215"/>
      <c r="I137" s="200"/>
    </row>
    <row r="138" spans="1:9" ht="18.75" x14ac:dyDescent="0.3">
      <c r="A138" s="215"/>
      <c r="B138" s="215"/>
      <c r="C138" s="215"/>
      <c r="D138" s="215"/>
      <c r="E138" s="215"/>
      <c r="F138" s="197"/>
      <c r="G138" s="215"/>
      <c r="H138" s="215"/>
      <c r="I138" s="200"/>
    </row>
    <row r="250" spans="1:1" x14ac:dyDescent="0.25">
      <c r="A250" s="21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3" sqref="B23"/>
    </sheetView>
  </sheetViews>
  <sheetFormatPr defaultColWidth="9.140625" defaultRowHeight="13.5" x14ac:dyDescent="0.25"/>
  <cols>
    <col min="1" max="1" width="55.42578125" style="218" customWidth="1"/>
    <col min="2" max="2" width="33.7109375" style="218" customWidth="1"/>
    <col min="3" max="3" width="42.28515625" style="218" customWidth="1"/>
    <col min="4" max="4" width="30.5703125" style="218" customWidth="1"/>
    <col min="5" max="5" width="39.85546875" style="218" customWidth="1"/>
    <col min="6" max="6" width="30.7109375" style="218" customWidth="1"/>
    <col min="7" max="7" width="39.85546875" style="218" customWidth="1"/>
    <col min="8" max="8" width="30" style="218" customWidth="1"/>
    <col min="9" max="9" width="30.28515625" style="218" hidden="1" customWidth="1"/>
    <col min="10" max="10" width="30.42578125" style="218" customWidth="1"/>
    <col min="11" max="11" width="21.28515625" style="218" customWidth="1"/>
    <col min="12" max="12" width="9.140625" style="218"/>
    <col min="13" max="16384" width="9.140625" style="44"/>
  </cols>
  <sheetData>
    <row r="1" spans="1:9" ht="18.75" customHeight="1" x14ac:dyDescent="0.25">
      <c r="A1" s="324" t="s">
        <v>50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51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thickBot="1" x14ac:dyDescent="0.35">
      <c r="A15" s="200"/>
    </row>
    <row r="16" spans="1:9" ht="19.5" customHeight="1" thickBo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52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121" t="s">
        <v>33</v>
      </c>
      <c r="B18" s="296" t="s">
        <v>5</v>
      </c>
      <c r="C18" s="296"/>
      <c r="D18" s="241"/>
      <c r="E18" s="122"/>
      <c r="F18" s="249"/>
      <c r="G18" s="249"/>
      <c r="H18" s="249"/>
    </row>
    <row r="19" spans="1:14" ht="26.25" customHeight="1" x14ac:dyDescent="0.4">
      <c r="A19" s="121" t="s">
        <v>34</v>
      </c>
      <c r="B19" s="282" t="s">
        <v>7</v>
      </c>
      <c r="C19" s="249">
        <v>1</v>
      </c>
      <c r="D19" s="249"/>
      <c r="E19" s="249"/>
      <c r="F19" s="249"/>
      <c r="G19" s="249"/>
      <c r="H19" s="249"/>
    </row>
    <row r="20" spans="1:14" ht="26.25" customHeight="1" x14ac:dyDescent="0.4">
      <c r="A20" s="121" t="s">
        <v>35</v>
      </c>
      <c r="B20" s="301" t="s">
        <v>141</v>
      </c>
      <c r="C20" s="301"/>
      <c r="D20" s="249"/>
      <c r="E20" s="249"/>
      <c r="F20" s="249"/>
      <c r="G20" s="249"/>
      <c r="H20" s="249"/>
    </row>
    <row r="21" spans="1:14" ht="26.25" customHeight="1" x14ac:dyDescent="0.4">
      <c r="A21" s="121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23"/>
    </row>
    <row r="22" spans="1:14" ht="26.25" customHeight="1" x14ac:dyDescent="0.4">
      <c r="A22" s="121" t="s">
        <v>37</v>
      </c>
      <c r="B22" s="124">
        <v>42809</v>
      </c>
      <c r="C22" s="249"/>
      <c r="D22" s="249"/>
      <c r="E22" s="249"/>
      <c r="F22" s="249"/>
      <c r="G22" s="249"/>
      <c r="H22" s="249"/>
    </row>
    <row r="23" spans="1:14" ht="26.25" customHeight="1" x14ac:dyDescent="0.4">
      <c r="A23" s="121" t="s">
        <v>38</v>
      </c>
      <c r="B23" s="124">
        <v>42815</v>
      </c>
      <c r="C23" s="249"/>
      <c r="D23" s="249"/>
      <c r="E23" s="249"/>
      <c r="F23" s="249"/>
      <c r="G23" s="249"/>
      <c r="H23" s="249"/>
    </row>
    <row r="24" spans="1:14" ht="18.75" x14ac:dyDescent="0.3">
      <c r="A24" s="121"/>
      <c r="B24" s="125"/>
    </row>
    <row r="25" spans="1:14" ht="18.75" x14ac:dyDescent="0.3">
      <c r="A25" s="126" t="s">
        <v>1</v>
      </c>
      <c r="B25" s="125"/>
    </row>
    <row r="26" spans="1:14" ht="26.25" customHeight="1" x14ac:dyDescent="0.4">
      <c r="A26" s="236" t="s">
        <v>4</v>
      </c>
      <c r="B26" s="296" t="s">
        <v>136</v>
      </c>
      <c r="C26" s="296"/>
    </row>
    <row r="27" spans="1:14" ht="26.25" customHeight="1" x14ac:dyDescent="0.4">
      <c r="A27" s="207" t="s">
        <v>53</v>
      </c>
      <c r="B27" s="302" t="s">
        <v>137</v>
      </c>
      <c r="C27" s="302"/>
    </row>
    <row r="28" spans="1:14" ht="27" customHeight="1" thickBot="1" x14ac:dyDescent="0.45">
      <c r="A28" s="207" t="s">
        <v>6</v>
      </c>
      <c r="B28" s="202">
        <v>99.4</v>
      </c>
    </row>
    <row r="29" spans="1:14" s="16" customFormat="1" ht="27" customHeight="1" thickBot="1" x14ac:dyDescent="0.45">
      <c r="A29" s="207" t="s">
        <v>54</v>
      </c>
      <c r="B29" s="127">
        <v>0</v>
      </c>
      <c r="C29" s="303" t="s">
        <v>55</v>
      </c>
      <c r="D29" s="304"/>
      <c r="E29" s="304"/>
      <c r="F29" s="304"/>
      <c r="G29" s="305"/>
      <c r="I29" s="128"/>
      <c r="J29" s="128"/>
      <c r="K29" s="128"/>
      <c r="L29" s="128"/>
    </row>
    <row r="30" spans="1:14" s="16" customFormat="1" ht="19.5" customHeight="1" thickBot="1" x14ac:dyDescent="0.35">
      <c r="A30" s="207" t="s">
        <v>56</v>
      </c>
      <c r="B30" s="278">
        <f>B28-B29</f>
        <v>99.4</v>
      </c>
      <c r="C30" s="129"/>
      <c r="D30" s="129"/>
      <c r="E30" s="129"/>
      <c r="F30" s="129"/>
      <c r="G30" s="130"/>
      <c r="I30" s="128"/>
      <c r="J30" s="128"/>
      <c r="K30" s="128"/>
      <c r="L30" s="128"/>
    </row>
    <row r="31" spans="1:14" s="16" customFormat="1" ht="27" customHeight="1" thickBot="1" x14ac:dyDescent="0.45">
      <c r="A31" s="207" t="s">
        <v>57</v>
      </c>
      <c r="B31" s="131">
        <v>1</v>
      </c>
      <c r="C31" s="306" t="s">
        <v>58</v>
      </c>
      <c r="D31" s="307"/>
      <c r="E31" s="307"/>
      <c r="F31" s="307"/>
      <c r="G31" s="307"/>
      <c r="H31" s="308"/>
      <c r="I31" s="128"/>
      <c r="J31" s="128"/>
      <c r="K31" s="128"/>
      <c r="L31" s="128"/>
    </row>
    <row r="32" spans="1:14" s="16" customFormat="1" ht="27" customHeight="1" thickBot="1" x14ac:dyDescent="0.45">
      <c r="A32" s="207" t="s">
        <v>59</v>
      </c>
      <c r="B32" s="131">
        <v>1</v>
      </c>
      <c r="C32" s="306" t="s">
        <v>60</v>
      </c>
      <c r="D32" s="307"/>
      <c r="E32" s="307"/>
      <c r="F32" s="307"/>
      <c r="G32" s="307"/>
      <c r="H32" s="308"/>
      <c r="I32" s="128"/>
      <c r="J32" s="128"/>
      <c r="K32" s="128"/>
      <c r="L32" s="132"/>
      <c r="M32" s="132"/>
      <c r="N32" s="133"/>
    </row>
    <row r="33" spans="1:14" s="16" customFormat="1" ht="17.25" customHeight="1" x14ac:dyDescent="0.3">
      <c r="A33" s="207"/>
      <c r="B33" s="134"/>
      <c r="C33" s="135"/>
      <c r="D33" s="135"/>
      <c r="E33" s="135"/>
      <c r="F33" s="135"/>
      <c r="G33" s="135"/>
      <c r="H33" s="135"/>
      <c r="I33" s="128"/>
      <c r="J33" s="128"/>
      <c r="K33" s="128"/>
      <c r="L33" s="132"/>
      <c r="M33" s="132"/>
      <c r="N33" s="133"/>
    </row>
    <row r="34" spans="1:14" s="16" customFormat="1" ht="18.75" x14ac:dyDescent="0.3">
      <c r="A34" s="207" t="s">
        <v>61</v>
      </c>
      <c r="B34" s="136">
        <f>B31/B32</f>
        <v>1</v>
      </c>
      <c r="C34" s="200" t="s">
        <v>62</v>
      </c>
      <c r="D34" s="200"/>
      <c r="E34" s="200"/>
      <c r="F34" s="200"/>
      <c r="G34" s="200"/>
      <c r="I34" s="128"/>
      <c r="J34" s="128"/>
      <c r="K34" s="128"/>
      <c r="L34" s="132"/>
      <c r="M34" s="132"/>
      <c r="N34" s="133"/>
    </row>
    <row r="35" spans="1:14" s="16" customFormat="1" ht="19.5" customHeight="1" thickBot="1" x14ac:dyDescent="0.35">
      <c r="A35" s="207"/>
      <c r="B35" s="278"/>
      <c r="G35" s="200"/>
      <c r="I35" s="128"/>
      <c r="J35" s="128"/>
      <c r="K35" s="128"/>
      <c r="L35" s="132"/>
      <c r="M35" s="132"/>
      <c r="N35" s="133"/>
    </row>
    <row r="36" spans="1:14" s="16" customFormat="1" ht="27" customHeight="1" thickBot="1" x14ac:dyDescent="0.45">
      <c r="A36" s="137" t="s">
        <v>63</v>
      </c>
      <c r="B36" s="138">
        <v>50</v>
      </c>
      <c r="C36" s="200"/>
      <c r="D36" s="309" t="s">
        <v>64</v>
      </c>
      <c r="E36" s="310"/>
      <c r="F36" s="309" t="s">
        <v>65</v>
      </c>
      <c r="G36" s="311"/>
      <c r="J36" s="128"/>
      <c r="K36" s="128"/>
      <c r="L36" s="132"/>
      <c r="M36" s="132"/>
      <c r="N36" s="133"/>
    </row>
    <row r="37" spans="1:14" s="16" customFormat="1" ht="27" customHeight="1" thickBot="1" x14ac:dyDescent="0.45">
      <c r="A37" s="139" t="s">
        <v>66</v>
      </c>
      <c r="B37" s="140">
        <v>5</v>
      </c>
      <c r="C37" s="141" t="s">
        <v>67</v>
      </c>
      <c r="D37" s="142" t="s">
        <v>68</v>
      </c>
      <c r="E37" s="143" t="s">
        <v>69</v>
      </c>
      <c r="F37" s="142" t="s">
        <v>68</v>
      </c>
      <c r="G37" s="144" t="s">
        <v>69</v>
      </c>
      <c r="I37" s="145" t="s">
        <v>70</v>
      </c>
      <c r="J37" s="128"/>
      <c r="K37" s="128"/>
      <c r="L37" s="132"/>
      <c r="M37" s="132"/>
      <c r="N37" s="133"/>
    </row>
    <row r="38" spans="1:14" s="16" customFormat="1" ht="26.25" customHeight="1" x14ac:dyDescent="0.4">
      <c r="A38" s="139" t="s">
        <v>71</v>
      </c>
      <c r="B38" s="140">
        <v>100</v>
      </c>
      <c r="C38" s="146">
        <v>1</v>
      </c>
      <c r="D38" s="147">
        <v>4750816</v>
      </c>
      <c r="E38" s="148">
        <f>IF(ISBLANK(D38),"-",$D$48/$D$45*D38)</f>
        <v>4743913.6057037013</v>
      </c>
      <c r="F38" s="147">
        <v>4367774</v>
      </c>
      <c r="G38" s="149">
        <f>IF(ISBLANK(F38),"-",$D$48/$F$45*F38)</f>
        <v>4702128.2322075842</v>
      </c>
      <c r="I38" s="150"/>
      <c r="J38" s="128"/>
      <c r="K38" s="128"/>
      <c r="L38" s="132"/>
      <c r="M38" s="132"/>
      <c r="N38" s="133"/>
    </row>
    <row r="39" spans="1:14" s="16" customFormat="1" ht="26.25" customHeight="1" x14ac:dyDescent="0.4">
      <c r="A39" s="139" t="s">
        <v>72</v>
      </c>
      <c r="B39" s="140">
        <v>1</v>
      </c>
      <c r="C39" s="168">
        <v>2</v>
      </c>
      <c r="D39" s="151">
        <v>4745757</v>
      </c>
      <c r="E39" s="152">
        <f>IF(ISBLANK(D39),"-",$D$48/$D$45*D39)</f>
        <v>4738861.9558542324</v>
      </c>
      <c r="F39" s="151">
        <v>4363125</v>
      </c>
      <c r="G39" s="153">
        <f>IF(ISBLANK(F39),"-",$D$48/$F$45*F39)</f>
        <v>4697123.3500521583</v>
      </c>
      <c r="I39" s="313">
        <f>ABS((F43/D43*D42)-F42)/D42</f>
        <v>9.529098972107148E-3</v>
      </c>
      <c r="J39" s="128"/>
      <c r="K39" s="128"/>
      <c r="L39" s="132"/>
      <c r="M39" s="132"/>
      <c r="N39" s="133"/>
    </row>
    <row r="40" spans="1:14" ht="26.25" customHeight="1" x14ac:dyDescent="0.4">
      <c r="A40" s="139" t="s">
        <v>73</v>
      </c>
      <c r="B40" s="140">
        <v>1</v>
      </c>
      <c r="C40" s="168">
        <v>3</v>
      </c>
      <c r="D40" s="151">
        <v>4763467</v>
      </c>
      <c r="E40" s="152">
        <f>IF(ISBLANK(D40),"-",$D$48/$D$45*D40)</f>
        <v>4756546.225242273</v>
      </c>
      <c r="F40" s="151">
        <v>4360022</v>
      </c>
      <c r="G40" s="153">
        <f>IF(ISBLANK(F40),"-",$D$48/$F$45*F40)</f>
        <v>4693782.8145975908</v>
      </c>
      <c r="I40" s="313"/>
      <c r="L40" s="132"/>
      <c r="M40" s="132"/>
      <c r="N40" s="200"/>
    </row>
    <row r="41" spans="1:14" ht="27" customHeight="1" thickBot="1" x14ac:dyDescent="0.45">
      <c r="A41" s="139" t="s">
        <v>74</v>
      </c>
      <c r="B41" s="140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I41" s="158"/>
      <c r="L41" s="132"/>
      <c r="M41" s="132"/>
      <c r="N41" s="200"/>
    </row>
    <row r="42" spans="1:14" ht="27" customHeight="1" thickBot="1" x14ac:dyDescent="0.45">
      <c r="A42" s="139" t="s">
        <v>75</v>
      </c>
      <c r="B42" s="140">
        <v>1</v>
      </c>
      <c r="C42" s="159" t="s">
        <v>76</v>
      </c>
      <c r="D42" s="160">
        <f>AVERAGE(D38:D41)</f>
        <v>4753346.666666667</v>
      </c>
      <c r="E42" s="161">
        <f>AVERAGE(E38:E41)</f>
        <v>4746440.5956000686</v>
      </c>
      <c r="F42" s="160">
        <f>AVERAGE(F38:F41)</f>
        <v>4363640.333333333</v>
      </c>
      <c r="G42" s="162">
        <f>AVERAGE(G38:G41)</f>
        <v>4697678.1322857775</v>
      </c>
      <c r="H42" s="163"/>
    </row>
    <row r="43" spans="1:14" ht="26.25" customHeight="1" x14ac:dyDescent="0.4">
      <c r="A43" s="139" t="s">
        <v>77</v>
      </c>
      <c r="B43" s="140">
        <v>1</v>
      </c>
      <c r="C43" s="164" t="s">
        <v>78</v>
      </c>
      <c r="D43" s="165">
        <v>20.149999999999999</v>
      </c>
      <c r="E43" s="200"/>
      <c r="F43" s="165">
        <v>18.690000000000001</v>
      </c>
      <c r="H43" s="163"/>
    </row>
    <row r="44" spans="1:14" ht="26.25" customHeight="1" x14ac:dyDescent="0.4">
      <c r="A44" s="139" t="s">
        <v>79</v>
      </c>
      <c r="B44" s="140">
        <v>1</v>
      </c>
      <c r="C44" s="166" t="s">
        <v>80</v>
      </c>
      <c r="D44" s="167">
        <f>D43*$B$34</f>
        <v>20.149999999999999</v>
      </c>
      <c r="E44" s="215"/>
      <c r="F44" s="167">
        <f>F43*$B$34</f>
        <v>18.690000000000001</v>
      </c>
      <c r="H44" s="163"/>
    </row>
    <row r="45" spans="1:14" ht="19.5" customHeight="1" thickBot="1" x14ac:dyDescent="0.35">
      <c r="A45" s="139" t="s">
        <v>81</v>
      </c>
      <c r="B45" s="168">
        <f>(B44/B43)*(B42/B41)*(B40/B39)*(B38/B37)*B36</f>
        <v>1000</v>
      </c>
      <c r="C45" s="166" t="s">
        <v>82</v>
      </c>
      <c r="D45" s="169">
        <f>D44*$B$30/100</f>
        <v>20.0291</v>
      </c>
      <c r="E45" s="197"/>
      <c r="F45" s="169">
        <f>F44*$B$30/100</f>
        <v>18.577860000000001</v>
      </c>
      <c r="H45" s="163"/>
    </row>
    <row r="46" spans="1:14" ht="19.5" customHeight="1" thickBot="1" x14ac:dyDescent="0.35">
      <c r="A46" s="314" t="s">
        <v>83</v>
      </c>
      <c r="B46" s="315"/>
      <c r="C46" s="166" t="s">
        <v>84</v>
      </c>
      <c r="D46" s="170">
        <f>D45/$B$45</f>
        <v>2.0029100000000001E-2</v>
      </c>
      <c r="E46" s="171"/>
      <c r="F46" s="172">
        <f>F45/$B$45</f>
        <v>1.8577860000000002E-2</v>
      </c>
      <c r="H46" s="163"/>
    </row>
    <row r="47" spans="1:14" ht="27" customHeight="1" thickBot="1" x14ac:dyDescent="0.45">
      <c r="A47" s="316"/>
      <c r="B47" s="317"/>
      <c r="C47" s="173" t="s">
        <v>85</v>
      </c>
      <c r="D47" s="174">
        <v>0.02</v>
      </c>
      <c r="E47" s="175"/>
      <c r="F47" s="171"/>
      <c r="H47" s="163"/>
    </row>
    <row r="48" spans="1:14" ht="18.75" x14ac:dyDescent="0.3">
      <c r="C48" s="176" t="s">
        <v>86</v>
      </c>
      <c r="D48" s="169">
        <f>D47*$B$45</f>
        <v>20</v>
      </c>
      <c r="F48" s="177"/>
      <c r="H48" s="163"/>
    </row>
    <row r="49" spans="1:12" ht="19.5" customHeight="1" thickBot="1" x14ac:dyDescent="0.35">
      <c r="C49" s="178" t="s">
        <v>87</v>
      </c>
      <c r="D49" s="179">
        <f>D48/B34</f>
        <v>20</v>
      </c>
      <c r="F49" s="177"/>
      <c r="H49" s="163"/>
    </row>
    <row r="50" spans="1:12" ht="18.75" x14ac:dyDescent="0.3">
      <c r="C50" s="137" t="s">
        <v>88</v>
      </c>
      <c r="D50" s="180">
        <f>AVERAGE(E38:E41,G38:G41)</f>
        <v>4722059.363942924</v>
      </c>
      <c r="F50" s="181"/>
      <c r="H50" s="163"/>
    </row>
    <row r="51" spans="1:12" ht="18.75" x14ac:dyDescent="0.3">
      <c r="C51" s="139" t="s">
        <v>89</v>
      </c>
      <c r="D51" s="182">
        <f>STDEV(E38:E41,G38:G41)/D50</f>
        <v>5.8134379954978693E-3</v>
      </c>
      <c r="F51" s="181"/>
      <c r="H51" s="163"/>
    </row>
    <row r="52" spans="1:12" ht="19.5" customHeight="1" thickBot="1" x14ac:dyDescent="0.35">
      <c r="C52" s="183" t="s">
        <v>20</v>
      </c>
      <c r="D52" s="184">
        <f>COUNT(E38:E41,G38:G41)</f>
        <v>6</v>
      </c>
      <c r="F52" s="181"/>
    </row>
    <row r="54" spans="1:12" ht="18.75" x14ac:dyDescent="0.3">
      <c r="A54" s="185" t="s">
        <v>1</v>
      </c>
      <c r="B54" s="186" t="s">
        <v>90</v>
      </c>
    </row>
    <row r="55" spans="1:12" ht="18.75" x14ac:dyDescent="0.3">
      <c r="A55" s="200" t="s">
        <v>91</v>
      </c>
      <c r="B55" s="187" t="str">
        <f>B21</f>
        <v>Each contains Lopinavir USP 40MG Ritonavir USP 10 MG</v>
      </c>
    </row>
    <row r="56" spans="1:12" ht="26.25" customHeight="1" x14ac:dyDescent="0.4">
      <c r="A56" s="187" t="s">
        <v>92</v>
      </c>
      <c r="B56" s="188">
        <v>10</v>
      </c>
      <c r="C56" s="200" t="str">
        <f>B20</f>
        <v xml:space="preserve">Ritonavir </v>
      </c>
      <c r="H56" s="215"/>
    </row>
    <row r="57" spans="1:12" ht="18.75" x14ac:dyDescent="0.3">
      <c r="A57" s="187" t="s">
        <v>93</v>
      </c>
      <c r="B57" s="242">
        <f>Uniformity!D43</f>
        <v>222.9915</v>
      </c>
      <c r="H57" s="215"/>
    </row>
    <row r="58" spans="1:12" ht="19.5" customHeight="1" thickBot="1" x14ac:dyDescent="0.35">
      <c r="H58" s="215"/>
    </row>
    <row r="59" spans="1:12" s="16" customFormat="1" ht="27" customHeight="1" thickBot="1" x14ac:dyDescent="0.45">
      <c r="A59" s="137" t="s">
        <v>94</v>
      </c>
      <c r="B59" s="138">
        <v>100</v>
      </c>
      <c r="C59" s="200"/>
      <c r="D59" s="189" t="s">
        <v>95</v>
      </c>
      <c r="E59" s="264" t="s">
        <v>67</v>
      </c>
      <c r="F59" s="264" t="s">
        <v>68</v>
      </c>
      <c r="G59" s="264" t="s">
        <v>96</v>
      </c>
      <c r="H59" s="141" t="s">
        <v>97</v>
      </c>
      <c r="L59" s="128"/>
    </row>
    <row r="60" spans="1:12" s="16" customFormat="1" ht="26.25" customHeight="1" x14ac:dyDescent="0.4">
      <c r="A60" s="139" t="s">
        <v>98</v>
      </c>
      <c r="B60" s="140">
        <v>10</v>
      </c>
      <c r="C60" s="318" t="s">
        <v>99</v>
      </c>
      <c r="D60" s="321">
        <v>454.95</v>
      </c>
      <c r="E60" s="269">
        <v>1</v>
      </c>
      <c r="F60" s="190">
        <v>4658154</v>
      </c>
      <c r="G60" s="243">
        <f>IF(ISBLANK(F60),"-",(F60/$D$50*$D$47*$B$68)*($B$57/$D$60))</f>
        <v>9.6702351519176855</v>
      </c>
      <c r="H60" s="260">
        <f t="shared" ref="H60:H71" si="0">IF(ISBLANK(F60),"-",(G60/$B$56)*100)</f>
        <v>96.702351519176858</v>
      </c>
      <c r="L60" s="128"/>
    </row>
    <row r="61" spans="1:12" s="16" customFormat="1" ht="26.25" customHeight="1" x14ac:dyDescent="0.4">
      <c r="A61" s="139" t="s">
        <v>100</v>
      </c>
      <c r="B61" s="140">
        <v>100</v>
      </c>
      <c r="C61" s="319"/>
      <c r="D61" s="322"/>
      <c r="E61" s="265">
        <v>2</v>
      </c>
      <c r="F61" s="151">
        <v>4634279</v>
      </c>
      <c r="G61" s="244">
        <f>IF(ISBLANK(F61),"-",(F61/$D$50*$D$47*$B$68)*($B$57/$D$60))</f>
        <v>9.620671126286064</v>
      </c>
      <c r="H61" s="261">
        <f t="shared" si="0"/>
        <v>96.206711262860651</v>
      </c>
      <c r="L61" s="128"/>
    </row>
    <row r="62" spans="1:12" s="16" customFormat="1" ht="26.25" customHeight="1" x14ac:dyDescent="0.4">
      <c r="A62" s="139" t="s">
        <v>101</v>
      </c>
      <c r="B62" s="140">
        <v>1</v>
      </c>
      <c r="C62" s="319"/>
      <c r="D62" s="322"/>
      <c r="E62" s="265">
        <v>3</v>
      </c>
      <c r="F62" s="191">
        <v>4645164</v>
      </c>
      <c r="G62" s="244">
        <f>IF(ISBLANK(F62),"-",(F62/$D$50*$D$47*$B$68)*($B$57/$D$60))</f>
        <v>9.6432681700138225</v>
      </c>
      <c r="H62" s="261">
        <f t="shared" si="0"/>
        <v>96.432681700138218</v>
      </c>
      <c r="L62" s="128"/>
    </row>
    <row r="63" spans="1:12" ht="27" customHeight="1" thickBot="1" x14ac:dyDescent="0.45">
      <c r="A63" s="139" t="s">
        <v>102</v>
      </c>
      <c r="B63" s="140">
        <v>1</v>
      </c>
      <c r="C63" s="320"/>
      <c r="D63" s="323"/>
      <c r="E63" s="266">
        <v>4</v>
      </c>
      <c r="F63" s="192"/>
      <c r="G63" s="244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139" t="s">
        <v>103</v>
      </c>
      <c r="B64" s="140">
        <v>1</v>
      </c>
      <c r="C64" s="318" t="s">
        <v>104</v>
      </c>
      <c r="D64" s="321">
        <v>443.76</v>
      </c>
      <c r="E64" s="269">
        <v>1</v>
      </c>
      <c r="F64" s="190">
        <v>4511417</v>
      </c>
      <c r="G64" s="243">
        <f>IF(ISBLANK(F64),"-",(F64/$D$50*$D$47*$B$68)*($B$57/$D$64))</f>
        <v>9.6017784491820901</v>
      </c>
      <c r="H64" s="260">
        <f t="shared" si="0"/>
        <v>96.017784491820905</v>
      </c>
    </row>
    <row r="65" spans="1:8" ht="26.25" customHeight="1" x14ac:dyDescent="0.4">
      <c r="A65" s="139" t="s">
        <v>105</v>
      </c>
      <c r="B65" s="140">
        <v>1</v>
      </c>
      <c r="C65" s="319"/>
      <c r="D65" s="322"/>
      <c r="E65" s="265">
        <v>2</v>
      </c>
      <c r="F65" s="151">
        <v>4513070</v>
      </c>
      <c r="G65" s="244">
        <f>IF(ISBLANK(F65),"-",(F65/$D$50*$D$47*$B$68)*($B$57/$D$64))</f>
        <v>9.6052965765856317</v>
      </c>
      <c r="H65" s="261">
        <f t="shared" si="0"/>
        <v>96.052965765856314</v>
      </c>
    </row>
    <row r="66" spans="1:8" ht="26.25" customHeight="1" x14ac:dyDescent="0.4">
      <c r="A66" s="139" t="s">
        <v>106</v>
      </c>
      <c r="B66" s="140">
        <v>1</v>
      </c>
      <c r="C66" s="319"/>
      <c r="D66" s="322"/>
      <c r="E66" s="265">
        <v>3</v>
      </c>
      <c r="F66" s="151">
        <v>4529035</v>
      </c>
      <c r="G66" s="244">
        <f>IF(ISBLANK(F66),"-",(F66/$D$50*$D$47*$B$68)*($B$57/$D$64))</f>
        <v>9.6392753448841919</v>
      </c>
      <c r="H66" s="261">
        <f t="shared" si="0"/>
        <v>96.392753448841916</v>
      </c>
    </row>
    <row r="67" spans="1:8" ht="27" customHeight="1" thickBot="1" x14ac:dyDescent="0.45">
      <c r="A67" s="139" t="s">
        <v>107</v>
      </c>
      <c r="B67" s="140">
        <v>1</v>
      </c>
      <c r="C67" s="320"/>
      <c r="D67" s="323"/>
      <c r="E67" s="266">
        <v>4</v>
      </c>
      <c r="F67" s="192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4">
      <c r="A68" s="139" t="s">
        <v>108</v>
      </c>
      <c r="B68" s="193">
        <f>(B67/B66)*(B65/B64)*(B63/B62)*(B61/B60)*B59</f>
        <v>1000</v>
      </c>
      <c r="C68" s="318" t="s">
        <v>109</v>
      </c>
      <c r="D68" s="321">
        <v>435.94</v>
      </c>
      <c r="E68" s="269">
        <v>1</v>
      </c>
      <c r="F68" s="190">
        <v>4436863</v>
      </c>
      <c r="G68" s="243">
        <f>IF(ISBLANK(F68),"-",(F68/$D$50*$D$47*$B$68)*($B$57/$D$68))</f>
        <v>9.6124957560951305</v>
      </c>
      <c r="H68" s="261">
        <f t="shared" si="0"/>
        <v>96.124957560951302</v>
      </c>
    </row>
    <row r="69" spans="1:8" ht="27" customHeight="1" thickBot="1" x14ac:dyDescent="0.45">
      <c r="A69" s="183" t="s">
        <v>110</v>
      </c>
      <c r="B69" s="194">
        <f>(D47*B68)/B56*B57</f>
        <v>445.983</v>
      </c>
      <c r="C69" s="319"/>
      <c r="D69" s="322"/>
      <c r="E69" s="265">
        <v>2</v>
      </c>
      <c r="F69" s="151">
        <v>4431154</v>
      </c>
      <c r="G69" s="244">
        <f>IF(ISBLANK(F69),"-",(F69/$D$50*$D$47*$B$68)*($B$57/$D$68))</f>
        <v>9.6001271663344045</v>
      </c>
      <c r="H69" s="261">
        <f t="shared" si="0"/>
        <v>96.001271663344042</v>
      </c>
    </row>
    <row r="70" spans="1:8" ht="26.25" customHeight="1" x14ac:dyDescent="0.4">
      <c r="A70" s="331" t="s">
        <v>83</v>
      </c>
      <c r="B70" s="332"/>
      <c r="C70" s="319"/>
      <c r="D70" s="322"/>
      <c r="E70" s="265">
        <v>3</v>
      </c>
      <c r="F70" s="151">
        <v>4439497</v>
      </c>
      <c r="G70" s="244">
        <f>IF(ISBLANK(F70),"-",(F70/$D$50*$D$47*$B$68)*($B$57/$D$68))</f>
        <v>9.6182023361318727</v>
      </c>
      <c r="H70" s="261">
        <f t="shared" si="0"/>
        <v>96.182023361318727</v>
      </c>
    </row>
    <row r="71" spans="1:8" ht="27" customHeight="1" thickBot="1" x14ac:dyDescent="0.45">
      <c r="A71" s="333"/>
      <c r="B71" s="334"/>
      <c r="C71" s="330"/>
      <c r="D71" s="323"/>
      <c r="E71" s="266">
        <v>4</v>
      </c>
      <c r="F71" s="192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">
      <c r="A72" s="215"/>
      <c r="B72" s="215"/>
      <c r="C72" s="215"/>
      <c r="D72" s="215"/>
      <c r="E72" s="215"/>
      <c r="F72" s="195" t="s">
        <v>76</v>
      </c>
      <c r="G72" s="248">
        <f>AVERAGE(G60:G71)</f>
        <v>9.6234833419367654</v>
      </c>
      <c r="H72" s="263">
        <f>AVERAGE(H60:H71)</f>
        <v>96.234833419367661</v>
      </c>
    </row>
    <row r="73" spans="1:8" ht="26.25" customHeight="1" x14ac:dyDescent="0.4">
      <c r="C73" s="215"/>
      <c r="D73" s="215"/>
      <c r="E73" s="215"/>
      <c r="F73" s="196" t="s">
        <v>89</v>
      </c>
      <c r="G73" s="250">
        <f>STDEV(G60:G71)/G72</f>
        <v>2.4176279427454831E-3</v>
      </c>
      <c r="H73" s="250">
        <f>STDEV(H60:H71)/H72</f>
        <v>2.4176279427454857E-3</v>
      </c>
    </row>
    <row r="74" spans="1:8" ht="27" customHeight="1" thickBot="1" x14ac:dyDescent="0.45">
      <c r="A74" s="215"/>
      <c r="B74" s="215"/>
      <c r="C74" s="215"/>
      <c r="D74" s="215"/>
      <c r="E74" s="197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236" t="s">
        <v>111</v>
      </c>
      <c r="B76" s="207" t="s">
        <v>112</v>
      </c>
      <c r="C76" s="326" t="str">
        <f>B26</f>
        <v>Ritonavir</v>
      </c>
      <c r="D76" s="326"/>
      <c r="E76" s="200" t="s">
        <v>113</v>
      </c>
      <c r="F76" s="200"/>
      <c r="G76" s="201">
        <f>H72</f>
        <v>96.234833419367661</v>
      </c>
      <c r="H76" s="278"/>
    </row>
    <row r="77" spans="1:8" ht="18.75" x14ac:dyDescent="0.3">
      <c r="A77" s="126" t="s">
        <v>114</v>
      </c>
      <c r="B77" s="126" t="s">
        <v>115</v>
      </c>
    </row>
    <row r="78" spans="1:8" ht="18.75" x14ac:dyDescent="0.3">
      <c r="A78" s="126"/>
      <c r="B78" s="126"/>
    </row>
    <row r="79" spans="1:8" ht="26.25" customHeight="1" x14ac:dyDescent="0.4">
      <c r="A79" s="236" t="s">
        <v>4</v>
      </c>
      <c r="B79" s="312" t="str">
        <f>B26</f>
        <v>Ritonavir</v>
      </c>
      <c r="C79" s="312"/>
    </row>
    <row r="80" spans="1:8" ht="26.25" customHeight="1" x14ac:dyDescent="0.4">
      <c r="A80" s="207" t="s">
        <v>53</v>
      </c>
      <c r="B80" s="312" t="str">
        <f>B27</f>
        <v>R14-2</v>
      </c>
      <c r="C80" s="312"/>
    </row>
    <row r="81" spans="1:12" ht="27" customHeight="1" thickBot="1" x14ac:dyDescent="0.45">
      <c r="A81" s="207" t="s">
        <v>6</v>
      </c>
      <c r="B81" s="202">
        <f>B28</f>
        <v>99.4</v>
      </c>
    </row>
    <row r="82" spans="1:12" s="16" customFormat="1" ht="27" customHeight="1" thickBot="1" x14ac:dyDescent="0.45">
      <c r="A82" s="207" t="s">
        <v>54</v>
      </c>
      <c r="B82" s="127">
        <v>0</v>
      </c>
      <c r="C82" s="303" t="s">
        <v>55</v>
      </c>
      <c r="D82" s="304"/>
      <c r="E82" s="304"/>
      <c r="F82" s="304"/>
      <c r="G82" s="305"/>
      <c r="I82" s="128"/>
      <c r="J82" s="128"/>
      <c r="K82" s="128"/>
      <c r="L82" s="128"/>
    </row>
    <row r="83" spans="1:12" s="16" customFormat="1" ht="19.5" customHeight="1" thickBot="1" x14ac:dyDescent="0.35">
      <c r="A83" s="207" t="s">
        <v>56</v>
      </c>
      <c r="B83" s="278">
        <f>B81-B82</f>
        <v>99.4</v>
      </c>
      <c r="C83" s="129"/>
      <c r="D83" s="129"/>
      <c r="E83" s="129"/>
      <c r="F83" s="129"/>
      <c r="G83" s="130"/>
      <c r="I83" s="128"/>
      <c r="J83" s="128"/>
      <c r="K83" s="128"/>
      <c r="L83" s="128"/>
    </row>
    <row r="84" spans="1:12" s="16" customFormat="1" ht="27" customHeight="1" thickBot="1" x14ac:dyDescent="0.45">
      <c r="A84" s="207" t="s">
        <v>57</v>
      </c>
      <c r="B84" s="131">
        <v>1</v>
      </c>
      <c r="C84" s="306" t="s">
        <v>116</v>
      </c>
      <c r="D84" s="307"/>
      <c r="E84" s="307"/>
      <c r="F84" s="307"/>
      <c r="G84" s="307"/>
      <c r="H84" s="308"/>
      <c r="I84" s="128"/>
      <c r="J84" s="128"/>
      <c r="K84" s="128"/>
      <c r="L84" s="128"/>
    </row>
    <row r="85" spans="1:12" s="16" customFormat="1" ht="27" customHeight="1" thickBot="1" x14ac:dyDescent="0.45">
      <c r="A85" s="207" t="s">
        <v>59</v>
      </c>
      <c r="B85" s="131">
        <v>1</v>
      </c>
      <c r="C85" s="306" t="s">
        <v>117</v>
      </c>
      <c r="D85" s="307"/>
      <c r="E85" s="307"/>
      <c r="F85" s="307"/>
      <c r="G85" s="307"/>
      <c r="H85" s="308"/>
      <c r="I85" s="128"/>
      <c r="J85" s="128"/>
      <c r="K85" s="128"/>
      <c r="L85" s="128"/>
    </row>
    <row r="86" spans="1:12" s="16" customFormat="1" ht="18.75" x14ac:dyDescent="0.3">
      <c r="A86" s="207"/>
      <c r="B86" s="134"/>
      <c r="C86" s="135"/>
      <c r="D86" s="135"/>
      <c r="E86" s="135"/>
      <c r="F86" s="135"/>
      <c r="G86" s="135"/>
      <c r="H86" s="135"/>
      <c r="I86" s="128"/>
      <c r="J86" s="128"/>
      <c r="K86" s="128"/>
      <c r="L86" s="128"/>
    </row>
    <row r="87" spans="1:12" s="16" customFormat="1" ht="18.75" x14ac:dyDescent="0.3">
      <c r="A87" s="207" t="s">
        <v>61</v>
      </c>
      <c r="B87" s="136">
        <f>B84/B85</f>
        <v>1</v>
      </c>
      <c r="C87" s="200" t="s">
        <v>62</v>
      </c>
      <c r="D87" s="200"/>
      <c r="E87" s="200"/>
      <c r="F87" s="200"/>
      <c r="G87" s="200"/>
      <c r="I87" s="128"/>
      <c r="J87" s="128"/>
      <c r="K87" s="128"/>
      <c r="L87" s="128"/>
    </row>
    <row r="88" spans="1:12" ht="19.5" customHeight="1" thickBot="1" x14ac:dyDescent="0.35">
      <c r="A88" s="126"/>
      <c r="B88" s="126"/>
    </row>
    <row r="89" spans="1:12" ht="27" customHeight="1" thickBot="1" x14ac:dyDescent="0.45">
      <c r="A89" s="137" t="s">
        <v>63</v>
      </c>
      <c r="B89" s="138">
        <v>50</v>
      </c>
      <c r="D89" s="280" t="s">
        <v>64</v>
      </c>
      <c r="E89" s="283"/>
      <c r="F89" s="309" t="s">
        <v>65</v>
      </c>
      <c r="G89" s="311"/>
    </row>
    <row r="90" spans="1:12" ht="27" customHeight="1" thickBot="1" x14ac:dyDescent="0.45">
      <c r="A90" s="139" t="s">
        <v>66</v>
      </c>
      <c r="B90" s="140">
        <v>5</v>
      </c>
      <c r="C90" s="279" t="s">
        <v>67</v>
      </c>
      <c r="D90" s="142" t="s">
        <v>68</v>
      </c>
      <c r="E90" s="143" t="s">
        <v>69</v>
      </c>
      <c r="F90" s="142" t="s">
        <v>68</v>
      </c>
      <c r="G90" s="203" t="s">
        <v>69</v>
      </c>
      <c r="I90" s="145" t="s">
        <v>70</v>
      </c>
    </row>
    <row r="91" spans="1:12" ht="26.25" customHeight="1" x14ac:dyDescent="0.4">
      <c r="A91" s="139" t="s">
        <v>71</v>
      </c>
      <c r="B91" s="140">
        <v>100</v>
      </c>
      <c r="C91" s="204">
        <v>1</v>
      </c>
      <c r="D91" s="147">
        <v>4485101</v>
      </c>
      <c r="E91" s="148">
        <f>IF(ISBLANK(D91),"-",$D$101/$D$98*D91)</f>
        <v>4627870.8146313773</v>
      </c>
      <c r="F91" s="147">
        <v>4787223</v>
      </c>
      <c r="G91" s="149">
        <f>IF(ISBLANK(F91),"-",$D$101/$F$98*F91)</f>
        <v>4666782.6727808714</v>
      </c>
      <c r="I91" s="150"/>
    </row>
    <row r="92" spans="1:12" ht="26.25" customHeight="1" x14ac:dyDescent="0.4">
      <c r="A92" s="139" t="s">
        <v>72</v>
      </c>
      <c r="B92" s="140">
        <v>1</v>
      </c>
      <c r="C92" s="215">
        <v>2</v>
      </c>
      <c r="D92" s="151">
        <v>4485818</v>
      </c>
      <c r="E92" s="152">
        <f>IF(ISBLANK(D92),"-",$D$101/$D$98*D92)</f>
        <v>4628610.6381881032</v>
      </c>
      <c r="F92" s="151">
        <v>4812466</v>
      </c>
      <c r="G92" s="153">
        <f>IF(ISBLANK(F92),"-",$D$101/$F$98*F92)</f>
        <v>4691390.5916116852</v>
      </c>
      <c r="I92" s="313">
        <f>ABS((F96/D96*D95)-F95)/D95</f>
        <v>1.1938335211853711E-2</v>
      </c>
    </row>
    <row r="93" spans="1:12" ht="26.25" customHeight="1" x14ac:dyDescent="0.4">
      <c r="A93" s="139" t="s">
        <v>73</v>
      </c>
      <c r="B93" s="140">
        <v>1</v>
      </c>
      <c r="C93" s="215">
        <v>3</v>
      </c>
      <c r="D93" s="151">
        <v>4479929</v>
      </c>
      <c r="E93" s="152">
        <f>IF(ISBLANK(D93),"-",$D$101/$D$98*D93)</f>
        <v>4622534.1794355875</v>
      </c>
      <c r="F93" s="151">
        <v>4798097</v>
      </c>
      <c r="G93" s="153">
        <f>IF(ISBLANK(F93),"-",$D$101/$F$98*F93)</f>
        <v>4677383.0970318029</v>
      </c>
      <c r="I93" s="313"/>
    </row>
    <row r="94" spans="1:12" ht="27" customHeight="1" thickBot="1" x14ac:dyDescent="0.45">
      <c r="A94" s="139" t="s">
        <v>74</v>
      </c>
      <c r="B94" s="140">
        <v>1</v>
      </c>
      <c r="C94" s="205">
        <v>4</v>
      </c>
      <c r="D94" s="155"/>
      <c r="E94" s="156" t="str">
        <f>IF(ISBLANK(D94),"-",$D$101/$D$98*D94)</f>
        <v>-</v>
      </c>
      <c r="F94" s="206"/>
      <c r="G94" s="157" t="str">
        <f>IF(ISBLANK(F94),"-",$D$101/$F$98*F94)</f>
        <v>-</v>
      </c>
      <c r="I94" s="158"/>
    </row>
    <row r="95" spans="1:12" ht="27" customHeight="1" thickBot="1" x14ac:dyDescent="0.45">
      <c r="A95" s="139" t="s">
        <v>75</v>
      </c>
      <c r="B95" s="140">
        <v>1</v>
      </c>
      <c r="C95" s="207" t="s">
        <v>76</v>
      </c>
      <c r="D95" s="208">
        <f>AVERAGE(D91:D94)</f>
        <v>4483616</v>
      </c>
      <c r="E95" s="161">
        <f>AVERAGE(E91:E94)</f>
        <v>4626338.544085023</v>
      </c>
      <c r="F95" s="209">
        <f>AVERAGE(F91:F94)</f>
        <v>4799262</v>
      </c>
      <c r="G95" s="210">
        <f>AVERAGE(G91:G94)</f>
        <v>4678518.7871414535</v>
      </c>
    </row>
    <row r="96" spans="1:12" ht="26.25" customHeight="1" x14ac:dyDescent="0.4">
      <c r="A96" s="139" t="s">
        <v>77</v>
      </c>
      <c r="B96" s="202">
        <v>1</v>
      </c>
      <c r="C96" s="211" t="s">
        <v>118</v>
      </c>
      <c r="D96" s="212">
        <v>19.5</v>
      </c>
      <c r="E96" s="200"/>
      <c r="F96" s="165">
        <v>20.64</v>
      </c>
    </row>
    <row r="97" spans="1:10" ht="26.25" customHeight="1" x14ac:dyDescent="0.4">
      <c r="A97" s="139" t="s">
        <v>79</v>
      </c>
      <c r="B97" s="202">
        <v>1</v>
      </c>
      <c r="C97" s="213" t="s">
        <v>119</v>
      </c>
      <c r="D97" s="214">
        <f>D96*$B$87</f>
        <v>19.5</v>
      </c>
      <c r="E97" s="215"/>
      <c r="F97" s="167">
        <f>F96*$B$87</f>
        <v>20.64</v>
      </c>
    </row>
    <row r="98" spans="1:10" ht="19.5" customHeight="1" thickBot="1" x14ac:dyDescent="0.35">
      <c r="A98" s="139" t="s">
        <v>81</v>
      </c>
      <c r="B98" s="215">
        <f>(B97/B96)*(B95/B94)*(B93/B92)*(B91/B90)*B89</f>
        <v>1000</v>
      </c>
      <c r="C98" s="213" t="s">
        <v>120</v>
      </c>
      <c r="D98" s="216">
        <f>D97*$B$83/100</f>
        <v>19.383000000000003</v>
      </c>
      <c r="E98" s="197"/>
      <c r="F98" s="169">
        <f>F97*$B$83/100</f>
        <v>20.516159999999999</v>
      </c>
    </row>
    <row r="99" spans="1:10" ht="19.5" customHeight="1" thickBot="1" x14ac:dyDescent="0.35">
      <c r="A99" s="314" t="s">
        <v>83</v>
      </c>
      <c r="B99" s="328"/>
      <c r="C99" s="213" t="s">
        <v>121</v>
      </c>
      <c r="D99" s="217">
        <f>D98/$B$98</f>
        <v>1.9383000000000004E-2</v>
      </c>
      <c r="E99" s="197"/>
      <c r="F99" s="172">
        <f>F98/$B$98</f>
        <v>2.0516159999999999E-2</v>
      </c>
      <c r="H99" s="163"/>
    </row>
    <row r="100" spans="1:10" ht="19.5" customHeight="1" thickBot="1" x14ac:dyDescent="0.35">
      <c r="A100" s="316"/>
      <c r="B100" s="329"/>
      <c r="C100" s="213" t="s">
        <v>85</v>
      </c>
      <c r="D100" s="219">
        <f>$B$56/$B$116</f>
        <v>0.02</v>
      </c>
      <c r="F100" s="177"/>
      <c r="G100" s="225"/>
      <c r="H100" s="163"/>
    </row>
    <row r="101" spans="1:10" ht="18.75" x14ac:dyDescent="0.3">
      <c r="C101" s="213" t="s">
        <v>86</v>
      </c>
      <c r="D101" s="214">
        <f>D100*$B$98</f>
        <v>20</v>
      </c>
      <c r="F101" s="177"/>
      <c r="H101" s="163"/>
    </row>
    <row r="102" spans="1:10" ht="19.5" customHeight="1" thickBot="1" x14ac:dyDescent="0.35">
      <c r="C102" s="220" t="s">
        <v>87</v>
      </c>
      <c r="D102" s="221">
        <f>D101/B34</f>
        <v>20</v>
      </c>
      <c r="F102" s="181"/>
      <c r="H102" s="163"/>
      <c r="J102" s="222"/>
    </row>
    <row r="103" spans="1:10" ht="18.75" x14ac:dyDescent="0.3">
      <c r="C103" s="223" t="s">
        <v>122</v>
      </c>
      <c r="D103" s="224">
        <f>AVERAGE(E91:E94,G91:G94)</f>
        <v>4652428.6656132378</v>
      </c>
      <c r="F103" s="181"/>
      <c r="G103" s="225"/>
      <c r="H103" s="163"/>
      <c r="J103" s="226"/>
    </row>
    <row r="104" spans="1:10" ht="18.75" x14ac:dyDescent="0.3">
      <c r="C104" s="196" t="s">
        <v>89</v>
      </c>
      <c r="D104" s="227">
        <f>STDEV(E91:E94,G91:G94)/D103</f>
        <v>6.3840590182385141E-3</v>
      </c>
      <c r="F104" s="181"/>
      <c r="H104" s="163"/>
      <c r="J104" s="226"/>
    </row>
    <row r="105" spans="1:10" ht="19.5" customHeight="1" thickBot="1" x14ac:dyDescent="0.35">
      <c r="C105" s="198" t="s">
        <v>20</v>
      </c>
      <c r="D105" s="228">
        <f>COUNT(E91:E94,G91:G94)</f>
        <v>6</v>
      </c>
      <c r="F105" s="181"/>
      <c r="H105" s="163"/>
      <c r="J105" s="226"/>
    </row>
    <row r="106" spans="1:10" ht="19.5" customHeight="1" thickBot="1" x14ac:dyDescent="0.35">
      <c r="A106" s="185"/>
      <c r="B106" s="185"/>
      <c r="C106" s="185"/>
      <c r="D106" s="185"/>
      <c r="E106" s="185"/>
    </row>
    <row r="107" spans="1:10" ht="27" customHeight="1" thickBot="1" x14ac:dyDescent="0.45">
      <c r="A107" s="137" t="s">
        <v>123</v>
      </c>
      <c r="B107" s="138">
        <v>500</v>
      </c>
      <c r="C107" s="264" t="s">
        <v>124</v>
      </c>
      <c r="D107" s="264" t="s">
        <v>68</v>
      </c>
      <c r="E107" s="264" t="s">
        <v>125</v>
      </c>
      <c r="F107" s="229" t="s">
        <v>126</v>
      </c>
    </row>
    <row r="108" spans="1:10" ht="26.25" customHeight="1" x14ac:dyDescent="0.4">
      <c r="A108" s="139" t="s">
        <v>127</v>
      </c>
      <c r="B108" s="140">
        <v>1</v>
      </c>
      <c r="C108" s="269">
        <v>1</v>
      </c>
      <c r="D108" s="270">
        <v>4110137</v>
      </c>
      <c r="E108" s="245">
        <f t="shared" ref="E108:E113" si="1">IF(ISBLANK(D108),"-",D108/$D$103*$D$100*$B$116)</f>
        <v>8.834390154928343</v>
      </c>
      <c r="F108" s="271">
        <f t="shared" ref="F108:F113" si="2">IF(ISBLANK(D108), "-", (E108/$B$56)*100)</f>
        <v>88.34390154928343</v>
      </c>
    </row>
    <row r="109" spans="1:10" ht="26.25" customHeight="1" x14ac:dyDescent="0.4">
      <c r="A109" s="139" t="s">
        <v>100</v>
      </c>
      <c r="B109" s="140">
        <v>1</v>
      </c>
      <c r="C109" s="265">
        <v>2</v>
      </c>
      <c r="D109" s="267">
        <v>4246812</v>
      </c>
      <c r="E109" s="246">
        <f t="shared" si="1"/>
        <v>9.1281614512196416</v>
      </c>
      <c r="F109" s="273">
        <f t="shared" si="2"/>
        <v>91.281614512196413</v>
      </c>
    </row>
    <row r="110" spans="1:10" ht="26.25" customHeight="1" x14ac:dyDescent="0.4">
      <c r="A110" s="139" t="s">
        <v>101</v>
      </c>
      <c r="B110" s="140">
        <v>1</v>
      </c>
      <c r="C110" s="265">
        <v>3</v>
      </c>
      <c r="D110" s="267">
        <v>4276937</v>
      </c>
      <c r="E110" s="246">
        <f t="shared" si="1"/>
        <v>9.1929125783517112</v>
      </c>
      <c r="F110" s="273">
        <f t="shared" si="2"/>
        <v>91.929125783517108</v>
      </c>
    </row>
    <row r="111" spans="1:10" ht="26.25" customHeight="1" x14ac:dyDescent="0.4">
      <c r="A111" s="139" t="s">
        <v>102</v>
      </c>
      <c r="B111" s="140">
        <v>1</v>
      </c>
      <c r="C111" s="265">
        <v>4</v>
      </c>
      <c r="D111" s="267">
        <v>4040282</v>
      </c>
      <c r="E111" s="246">
        <f t="shared" si="1"/>
        <v>8.6842427695072466</v>
      </c>
      <c r="F111" s="273">
        <f t="shared" si="2"/>
        <v>86.842427695072473</v>
      </c>
    </row>
    <row r="112" spans="1:10" ht="26.25" customHeight="1" x14ac:dyDescent="0.4">
      <c r="A112" s="139" t="s">
        <v>103</v>
      </c>
      <c r="B112" s="140">
        <v>1</v>
      </c>
      <c r="C112" s="265">
        <v>5</v>
      </c>
      <c r="D112" s="267">
        <v>4206319</v>
      </c>
      <c r="E112" s="246">
        <f t="shared" si="1"/>
        <v>9.0411251892791018</v>
      </c>
      <c r="F112" s="273">
        <f t="shared" si="2"/>
        <v>90.411251892791029</v>
      </c>
    </row>
    <row r="113" spans="1:10" ht="27" customHeight="1" thickBot="1" x14ac:dyDescent="0.45">
      <c r="A113" s="139" t="s">
        <v>105</v>
      </c>
      <c r="B113" s="140">
        <v>1</v>
      </c>
      <c r="C113" s="266">
        <v>6</v>
      </c>
      <c r="D113" s="268">
        <v>4115435</v>
      </c>
      <c r="E113" s="247">
        <f t="shared" si="1"/>
        <v>8.8457777556435531</v>
      </c>
      <c r="F113" s="272">
        <f t="shared" si="2"/>
        <v>88.457777556435531</v>
      </c>
    </row>
    <row r="114" spans="1:10" ht="27" customHeight="1" thickBot="1" x14ac:dyDescent="0.45">
      <c r="A114" s="139" t="s">
        <v>106</v>
      </c>
      <c r="B114" s="140">
        <v>1</v>
      </c>
      <c r="C114" s="230"/>
      <c r="D114" s="215"/>
      <c r="E114" s="200"/>
      <c r="F114" s="273"/>
    </row>
    <row r="115" spans="1:10" ht="26.25" customHeight="1" x14ac:dyDescent="0.4">
      <c r="A115" s="139" t="s">
        <v>107</v>
      </c>
      <c r="B115" s="140">
        <v>1</v>
      </c>
      <c r="C115" s="230"/>
      <c r="D115" s="251" t="s">
        <v>76</v>
      </c>
      <c r="E115" s="253">
        <f>AVERAGE(E108:E113)</f>
        <v>8.9544349831549326</v>
      </c>
      <c r="F115" s="274">
        <f>AVERAGE(F108:F113)</f>
        <v>89.544349831549326</v>
      </c>
    </row>
    <row r="116" spans="1:10" ht="27" customHeight="1" thickBot="1" x14ac:dyDescent="0.45">
      <c r="A116" s="139" t="s">
        <v>108</v>
      </c>
      <c r="B116" s="168">
        <f>(B115/B114)*(B113/B112)*(B111/B110)*(B109/B108)*B107</f>
        <v>500</v>
      </c>
      <c r="C116" s="231"/>
      <c r="D116" s="252" t="s">
        <v>89</v>
      </c>
      <c r="E116" s="250">
        <f>STDEV(E108:E113)/E115</f>
        <v>2.1985733198364384E-2</v>
      </c>
      <c r="F116" s="232">
        <f>STDEV(F108:F113)/F115</f>
        <v>2.1985733198364353E-2</v>
      </c>
      <c r="I116" s="200"/>
    </row>
    <row r="117" spans="1:10" ht="27" customHeight="1" thickBot="1" x14ac:dyDescent="0.45">
      <c r="A117" s="314" t="s">
        <v>83</v>
      </c>
      <c r="B117" s="315"/>
      <c r="C117" s="233"/>
      <c r="D117" s="198" t="s">
        <v>20</v>
      </c>
      <c r="E117" s="255">
        <f>COUNT(E108:E113)</f>
        <v>6</v>
      </c>
      <c r="F117" s="256">
        <f>COUNT(F108:F113)</f>
        <v>6</v>
      </c>
      <c r="I117" s="200"/>
      <c r="J117" s="226"/>
    </row>
    <row r="118" spans="1:10" ht="26.25" customHeight="1" thickBot="1" x14ac:dyDescent="0.35">
      <c r="A118" s="316"/>
      <c r="B118" s="317"/>
      <c r="C118" s="200"/>
      <c r="D118" s="254"/>
      <c r="E118" s="294" t="s">
        <v>128</v>
      </c>
      <c r="F118" s="295"/>
      <c r="G118" s="200"/>
      <c r="H118" s="200"/>
      <c r="I118" s="200"/>
    </row>
    <row r="119" spans="1:10" ht="25.5" customHeight="1" x14ac:dyDescent="0.4">
      <c r="A119" s="240"/>
      <c r="B119" s="135"/>
      <c r="C119" s="200"/>
      <c r="D119" s="252" t="s">
        <v>129</v>
      </c>
      <c r="E119" s="257">
        <f>MIN(E108:E113)</f>
        <v>8.6842427695072466</v>
      </c>
      <c r="F119" s="275">
        <f>MIN(F108:F113)</f>
        <v>86.842427695072473</v>
      </c>
      <c r="G119" s="200"/>
      <c r="H119" s="200"/>
      <c r="I119" s="200"/>
    </row>
    <row r="120" spans="1:10" ht="24" customHeight="1" thickBot="1" x14ac:dyDescent="0.45">
      <c r="A120" s="240"/>
      <c r="B120" s="135"/>
      <c r="C120" s="200"/>
      <c r="D120" s="178" t="s">
        <v>130</v>
      </c>
      <c r="E120" s="258">
        <f>MAX(E108:E113)</f>
        <v>9.1929125783517112</v>
      </c>
      <c r="F120" s="276">
        <f>MAX(F108:F113)</f>
        <v>91.929125783517108</v>
      </c>
      <c r="G120" s="200"/>
      <c r="H120" s="200"/>
      <c r="I120" s="200"/>
    </row>
    <row r="121" spans="1:10" ht="27" customHeight="1" x14ac:dyDescent="0.3">
      <c r="A121" s="240"/>
      <c r="B121" s="135"/>
      <c r="C121" s="200"/>
      <c r="D121" s="200"/>
      <c r="E121" s="200"/>
      <c r="F121" s="215"/>
      <c r="G121" s="200"/>
      <c r="H121" s="200"/>
      <c r="I121" s="200"/>
    </row>
    <row r="122" spans="1:10" ht="25.5" customHeight="1" x14ac:dyDescent="0.3">
      <c r="A122" s="240"/>
      <c r="B122" s="135"/>
      <c r="C122" s="200"/>
      <c r="D122" s="200"/>
      <c r="E122" s="200"/>
      <c r="F122" s="215"/>
      <c r="G122" s="200"/>
      <c r="H122" s="200"/>
      <c r="I122" s="200"/>
    </row>
    <row r="123" spans="1:10" ht="18.75" x14ac:dyDescent="0.3">
      <c r="A123" s="240"/>
      <c r="B123" s="135"/>
      <c r="C123" s="200"/>
      <c r="D123" s="200"/>
      <c r="E123" s="200"/>
      <c r="F123" s="215"/>
      <c r="G123" s="200"/>
      <c r="H123" s="200"/>
      <c r="I123" s="200"/>
    </row>
    <row r="124" spans="1:10" ht="45.75" customHeight="1" x14ac:dyDescent="0.65">
      <c r="A124" s="236" t="s">
        <v>111</v>
      </c>
      <c r="B124" s="207" t="s">
        <v>131</v>
      </c>
      <c r="C124" s="326" t="str">
        <f>B26</f>
        <v>Ritonavir</v>
      </c>
      <c r="D124" s="326"/>
      <c r="E124" s="200" t="s">
        <v>132</v>
      </c>
      <c r="F124" s="200"/>
      <c r="G124" s="277">
        <f>F115</f>
        <v>89.544349831549326</v>
      </c>
      <c r="H124" s="200"/>
      <c r="I124" s="200"/>
    </row>
    <row r="125" spans="1:10" ht="45.75" customHeight="1" x14ac:dyDescent="0.65">
      <c r="A125" s="236"/>
      <c r="B125" s="207" t="s">
        <v>133</v>
      </c>
      <c r="C125" s="207" t="s">
        <v>134</v>
      </c>
      <c r="D125" s="277">
        <f>MIN(F108:F113)</f>
        <v>86.842427695072473</v>
      </c>
      <c r="E125" s="207" t="s">
        <v>135</v>
      </c>
      <c r="F125" s="277">
        <f>MAX(F108:F113)</f>
        <v>91.929125783517108</v>
      </c>
      <c r="G125" s="201"/>
      <c r="H125" s="200"/>
      <c r="I125" s="200"/>
    </row>
    <row r="126" spans="1:10" ht="19.5" customHeight="1" thickBot="1" x14ac:dyDescent="0.35">
      <c r="A126" s="281"/>
      <c r="B126" s="281"/>
      <c r="C126" s="234"/>
      <c r="D126" s="234"/>
      <c r="E126" s="234"/>
      <c r="F126" s="234"/>
      <c r="G126" s="234"/>
      <c r="H126" s="234"/>
    </row>
    <row r="127" spans="1:10" ht="18.75" x14ac:dyDescent="0.3">
      <c r="B127" s="327" t="s">
        <v>26</v>
      </c>
      <c r="C127" s="327"/>
      <c r="E127" s="279" t="s">
        <v>27</v>
      </c>
      <c r="F127" s="235"/>
      <c r="G127" s="327" t="s">
        <v>28</v>
      </c>
      <c r="H127" s="327"/>
    </row>
    <row r="128" spans="1:10" ht="69.95" customHeight="1" x14ac:dyDescent="0.3">
      <c r="A128" s="236" t="s">
        <v>29</v>
      </c>
      <c r="B128" s="237"/>
      <c r="C128" s="237"/>
      <c r="E128" s="237"/>
      <c r="F128" s="200"/>
      <c r="G128" s="237"/>
      <c r="H128" s="237"/>
    </row>
    <row r="129" spans="1:9" ht="69.95" customHeight="1" x14ac:dyDescent="0.3">
      <c r="A129" s="236" t="s">
        <v>30</v>
      </c>
      <c r="B129" s="238"/>
      <c r="C129" s="238"/>
      <c r="E129" s="238"/>
      <c r="F129" s="200"/>
      <c r="G129" s="239"/>
      <c r="H129" s="239"/>
    </row>
    <row r="130" spans="1:9" ht="18.75" x14ac:dyDescent="0.3">
      <c r="A130" s="215"/>
      <c r="B130" s="215"/>
      <c r="C130" s="215"/>
      <c r="D130" s="215"/>
      <c r="E130" s="215"/>
      <c r="F130" s="197"/>
      <c r="G130" s="215"/>
      <c r="H130" s="215"/>
      <c r="I130" s="200"/>
    </row>
    <row r="131" spans="1:9" ht="18.75" x14ac:dyDescent="0.3">
      <c r="A131" s="215"/>
      <c r="B131" s="215"/>
      <c r="C131" s="215"/>
      <c r="D131" s="215"/>
      <c r="E131" s="215"/>
      <c r="F131" s="197"/>
      <c r="G131" s="215"/>
      <c r="H131" s="215"/>
      <c r="I131" s="200"/>
    </row>
    <row r="132" spans="1:9" ht="18.75" x14ac:dyDescent="0.3">
      <c r="A132" s="215"/>
      <c r="B132" s="215"/>
      <c r="C132" s="215"/>
      <c r="D132" s="215"/>
      <c r="E132" s="215"/>
      <c r="F132" s="197"/>
      <c r="G132" s="215"/>
      <c r="H132" s="215"/>
      <c r="I132" s="200"/>
    </row>
    <row r="133" spans="1:9" ht="18.75" x14ac:dyDescent="0.3">
      <c r="A133" s="215"/>
      <c r="B133" s="215"/>
      <c r="C133" s="215"/>
      <c r="D133" s="215"/>
      <c r="E133" s="215"/>
      <c r="F133" s="197"/>
      <c r="G133" s="215"/>
      <c r="H133" s="215"/>
      <c r="I133" s="200"/>
    </row>
    <row r="134" spans="1:9" ht="18.75" x14ac:dyDescent="0.3">
      <c r="A134" s="215"/>
      <c r="B134" s="215"/>
      <c r="C134" s="215"/>
      <c r="D134" s="215"/>
      <c r="E134" s="215"/>
      <c r="F134" s="197"/>
      <c r="G134" s="215"/>
      <c r="H134" s="215"/>
      <c r="I134" s="200"/>
    </row>
    <row r="135" spans="1:9" ht="18.75" x14ac:dyDescent="0.3">
      <c r="A135" s="215"/>
      <c r="B135" s="215"/>
      <c r="C135" s="215"/>
      <c r="D135" s="215"/>
      <c r="E135" s="215"/>
      <c r="F135" s="197"/>
      <c r="G135" s="215"/>
      <c r="H135" s="215"/>
      <c r="I135" s="200"/>
    </row>
    <row r="136" spans="1:9" ht="18.75" x14ac:dyDescent="0.3">
      <c r="A136" s="215"/>
      <c r="B136" s="215"/>
      <c r="C136" s="215"/>
      <c r="D136" s="215"/>
      <c r="E136" s="215"/>
      <c r="F136" s="197"/>
      <c r="G136" s="215"/>
      <c r="H136" s="215"/>
      <c r="I136" s="200"/>
    </row>
    <row r="137" spans="1:9" ht="18.75" x14ac:dyDescent="0.3">
      <c r="A137" s="215"/>
      <c r="B137" s="215"/>
      <c r="C137" s="215"/>
      <c r="D137" s="215"/>
      <c r="E137" s="215"/>
      <c r="F137" s="197"/>
      <c r="G137" s="215"/>
      <c r="H137" s="215"/>
      <c r="I137" s="200"/>
    </row>
    <row r="138" spans="1:9" ht="18.75" x14ac:dyDescent="0.3">
      <c r="A138" s="215"/>
      <c r="B138" s="215"/>
      <c r="C138" s="215"/>
      <c r="D138" s="215"/>
      <c r="E138" s="215"/>
      <c r="F138" s="197"/>
      <c r="G138" s="215"/>
      <c r="H138" s="215"/>
      <c r="I138" s="200"/>
    </row>
    <row r="250" spans="1:1" x14ac:dyDescent="0.25">
      <c r="A250" s="21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Lopinavir</vt:lpstr>
      <vt:lpstr>SST Ritonavir</vt:lpstr>
      <vt:lpstr>Uniformity</vt:lpstr>
      <vt:lpstr>Lopinavir</vt:lpstr>
      <vt:lpstr>Ritonavir</vt:lpstr>
      <vt:lpstr>Lopinavir!Print_Area</vt:lpstr>
      <vt:lpstr>Ritonavir!Print_Area</vt:lpstr>
      <vt:lpstr>'SST Lopinavir'!Print_Area</vt:lpstr>
      <vt:lpstr>'SST Ritonavir'!Print_Area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2017-03-21T06:54:58Z</cp:lastPrinted>
  <dcterms:created xsi:type="dcterms:W3CDTF">2005-07-05T10:19:27Z</dcterms:created>
  <dcterms:modified xsi:type="dcterms:W3CDTF">2017-03-21T06:57:46Z</dcterms:modified>
</cp:coreProperties>
</file>