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Sulf" sheetId="5" r:id="rId1"/>
    <sheet name="SST trim" sheetId="6" r:id="rId2"/>
    <sheet name="Uniformity" sheetId="2" r:id="rId3"/>
    <sheet name="SULFAMETHOXAZOLE (2)" sheetId="7" r:id="rId4"/>
    <sheet name="TRIMETHOPRIM (2)" sheetId="8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42" i="5"/>
  <c r="B57" i="8" l="1"/>
  <c r="B69" i="8" s="1"/>
  <c r="B57" i="7"/>
  <c r="B69" i="7" s="1"/>
  <c r="C124" i="8"/>
  <c r="B116" i="8"/>
  <c r="D100" i="8" s="1"/>
  <c r="B98" i="8"/>
  <c r="F95" i="8"/>
  <c r="D95" i="8"/>
  <c r="B87" i="8"/>
  <c r="F97" i="8" s="1"/>
  <c r="F98" i="8" s="1"/>
  <c r="F99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F45" i="8"/>
  <c r="F46" i="8" s="1"/>
  <c r="B45" i="8"/>
  <c r="D48" i="8" s="1"/>
  <c r="F44" i="8"/>
  <c r="D44" i="8"/>
  <c r="D45" i="8" s="1"/>
  <c r="D46" i="8" s="1"/>
  <c r="F42" i="8"/>
  <c r="D42" i="8"/>
  <c r="I39" i="8" s="1"/>
  <c r="G41" i="8"/>
  <c r="E41" i="8"/>
  <c r="B34" i="8"/>
  <c r="B30" i="8"/>
  <c r="C124" i="7"/>
  <c r="B116" i="7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D100" i="7"/>
  <c r="B98" i="7"/>
  <c r="F95" i="7"/>
  <c r="D95" i="7"/>
  <c r="B87" i="7"/>
  <c r="F97" i="7" s="1"/>
  <c r="B83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4" i="7"/>
  <c r="D44" i="7"/>
  <c r="F42" i="7"/>
  <c r="D42" i="7"/>
  <c r="I39" i="7" s="1"/>
  <c r="G41" i="7"/>
  <c r="E41" i="7"/>
  <c r="B34" i="7"/>
  <c r="B30" i="7"/>
  <c r="F45" i="7" s="1"/>
  <c r="F46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D30" i="5"/>
  <c r="C30" i="5"/>
  <c r="B30" i="5"/>
  <c r="B31" i="5" s="1"/>
  <c r="B21" i="5"/>
  <c r="I92" i="8" l="1"/>
  <c r="D101" i="8"/>
  <c r="D102" i="8" s="1"/>
  <c r="I92" i="7"/>
  <c r="D101" i="7"/>
  <c r="D102" i="7" s="1"/>
  <c r="F125" i="7"/>
  <c r="D45" i="7"/>
  <c r="D46" i="7" s="1"/>
  <c r="E120" i="7"/>
  <c r="F98" i="7"/>
  <c r="F99" i="7" s="1"/>
  <c r="G94" i="8"/>
  <c r="G92" i="8"/>
  <c r="G93" i="8"/>
  <c r="G38" i="8"/>
  <c r="E39" i="8"/>
  <c r="D49" i="8"/>
  <c r="E40" i="8"/>
  <c r="E38" i="8"/>
  <c r="G39" i="8"/>
  <c r="G40" i="8"/>
  <c r="D97" i="8"/>
  <c r="D98" i="8" s="1"/>
  <c r="D99" i="8" s="1"/>
  <c r="G39" i="7"/>
  <c r="G40" i="7"/>
  <c r="E39" i="7"/>
  <c r="D49" i="7"/>
  <c r="G38" i="7"/>
  <c r="E40" i="7"/>
  <c r="D97" i="7"/>
  <c r="D98" i="7" s="1"/>
  <c r="D99" i="7" s="1"/>
  <c r="E119" i="7"/>
  <c r="E115" i="7"/>
  <c r="E116" i="7" s="1"/>
  <c r="F119" i="7"/>
  <c r="F115" i="7"/>
  <c r="E117" i="7"/>
  <c r="D125" i="7"/>
  <c r="F117" i="7"/>
  <c r="F120" i="7"/>
  <c r="G91" i="8" l="1"/>
  <c r="G95" i="8" s="1"/>
  <c r="G93" i="7"/>
  <c r="G92" i="7"/>
  <c r="G91" i="7"/>
  <c r="E93" i="7"/>
  <c r="E38" i="7"/>
  <c r="E42" i="7" s="1"/>
  <c r="G94" i="7"/>
  <c r="E93" i="8"/>
  <c r="E91" i="8"/>
  <c r="E42" i="8"/>
  <c r="D52" i="8"/>
  <c r="D50" i="8"/>
  <c r="G42" i="8"/>
  <c r="E92" i="8"/>
  <c r="E94" i="8"/>
  <c r="D50" i="7"/>
  <c r="D52" i="7"/>
  <c r="G42" i="7"/>
  <c r="G124" i="7"/>
  <c r="F116" i="7"/>
  <c r="E91" i="7"/>
  <c r="E92" i="7"/>
  <c r="E94" i="7"/>
  <c r="G95" i="7" l="1"/>
  <c r="G70" i="8"/>
  <c r="H70" i="8" s="1"/>
  <c r="G65" i="8"/>
  <c r="H65" i="8" s="1"/>
  <c r="G68" i="8"/>
  <c r="H68" i="8" s="1"/>
  <c r="G69" i="8"/>
  <c r="H69" i="8" s="1"/>
  <c r="G66" i="8"/>
  <c r="H66" i="8" s="1"/>
  <c r="G64" i="8"/>
  <c r="H64" i="8" s="1"/>
  <c r="G62" i="8"/>
  <c r="H62" i="8" s="1"/>
  <c r="G60" i="8"/>
  <c r="D51" i="8"/>
  <c r="G61" i="8"/>
  <c r="H61" i="8" s="1"/>
  <c r="D103" i="8"/>
  <c r="E95" i="8"/>
  <c r="D105" i="8"/>
  <c r="D103" i="7"/>
  <c r="D104" i="7" s="1"/>
  <c r="E95" i="7"/>
  <c r="D105" i="7"/>
  <c r="D51" i="7"/>
  <c r="G70" i="7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H60" i="8" l="1"/>
  <c r="G74" i="8"/>
  <c r="G72" i="8"/>
  <c r="G73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74" i="7"/>
  <c r="G72" i="7"/>
  <c r="G73" i="7" s="1"/>
  <c r="H60" i="7"/>
  <c r="E120" i="8" l="1"/>
  <c r="E117" i="8"/>
  <c r="F108" i="8"/>
  <c r="E115" i="8"/>
  <c r="E116" i="8" s="1"/>
  <c r="E119" i="8"/>
  <c r="H74" i="8"/>
  <c r="H72" i="8"/>
  <c r="H74" i="7"/>
  <c r="H72" i="7"/>
  <c r="G76" i="8" l="1"/>
  <c r="H73" i="8"/>
  <c r="F125" i="8"/>
  <c r="F120" i="8"/>
  <c r="D125" i="8"/>
  <c r="F115" i="8"/>
  <c r="F119" i="8"/>
  <c r="F117" i="8"/>
  <c r="G76" i="7"/>
  <c r="H73" i="7"/>
  <c r="G124" i="8" l="1"/>
  <c r="F116" i="8"/>
  <c r="C46" i="2" l="1"/>
  <c r="C45" i="2"/>
  <c r="D41" i="2"/>
  <c r="D37" i="2"/>
  <c r="D33" i="2"/>
  <c r="D29" i="2"/>
  <c r="D25" i="2"/>
  <c r="C19" i="2"/>
  <c r="D27" i="2" l="1"/>
  <c r="D31" i="2"/>
  <c r="D35" i="2"/>
  <c r="D39" i="2"/>
  <c r="D43" i="2"/>
  <c r="C49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50" i="2"/>
</calcChain>
</file>

<file path=xl/sharedStrings.xml><?xml version="1.0" encoding="utf-8"?>
<sst xmlns="http://schemas.openxmlformats.org/spreadsheetml/2006/main" count="453" uniqueCount="143">
  <si>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</si>
  <si>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</si>
  <si>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</si>
  <si>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</si>
  <si>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</si>
  <si>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</si>
  <si>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</si>
  <si>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NDQB201703355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</si>
  <si>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</si>
  <si>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</si>
  <si>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</si>
  <si>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</si>
  <si>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2017-03-22 07:22:34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</si>
  <si>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</si>
  <si>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</si>
  <si>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</si>
  <si>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</si>
  <si>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</si>
  <si>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</si>
  <si>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</si>
  <si>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</si>
  <si>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</si>
  <si>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</si>
  <si>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</si>
  <si>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</si>
  <si>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</si>
  <si>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</si>
  <si>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</si>
  <si>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</si>
  <si>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</si>
  <si>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</si>
  <si>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</si>
  <si>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</si>
  <si>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</si>
  <si>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</si>
  <si>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</si>
  <si>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</si>
  <si>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</si>
  <si>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</si>
  <si>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</si>
  <si>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</si>
  <si>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</si>
  <si>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</si>
  <si>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</si>
  <si>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</si>
  <si>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</si>
  <si>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</si>
  <si>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</si>
  <si>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</si>
  <si>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</si>
  <si>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</si>
  <si>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</si>
  <si>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</si>
  <si>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</si>
  <si>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</si>
  <si>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</si>
  <si>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</si>
  <si>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</si>
  <si>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</si>
  <si>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</si>
  <si>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</si>
  <si>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</si>
  <si>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</si>
  <si>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</si>
  <si>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</si>
  <si>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</si>
  <si>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</si>
  <si>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</si>
  <si>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</si>
  <si>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</si>
  <si>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</si>
  <si>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</si>
  <si>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</si>
  <si>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</si>
  <si>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</si>
  <si>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</si>
  <si>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</si>
  <si>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</si>
  <si>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</si>
  <si>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</si>
  <si>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</si>
  <si>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</si>
  <si>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</si>
  <si>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</si>
  <si>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</si>
  <si>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</si>
  <si>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</si>
  <si>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</si>
  <si>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</si>
  <si>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</si>
  <si>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</si>
  <si>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</si>
  <si>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</si>
  <si>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</si>
  <si>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</si>
  <si>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</si>
  <si>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</si>
  <si>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</si>
  <si>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</si>
  <si>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</si>
  <si>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</si>
  <si>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</si>
  <si>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</si>
  <si>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</si>
  <si>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</si>
  <si>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</si>
  <si>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</si>
  <si>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</si>
  <si>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</si>
  <si>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</si>
  <si>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</si>
  <si>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</si>
  <si>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</si>
  <si>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</si>
  <si>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</si>
  <si>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</si>
  <si>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</si>
  <si>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</si>
  <si>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</si>
  <si>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</si>
  <si>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</si>
  <si>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</si>
  <si>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</si>
  <si>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</si>
  <si>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</si>
  <si>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</si>
  <si>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</si>
  <si>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</si>
  <si>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</si>
  <si>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</si>
  <si>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</si>
  <si>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-DS TABLETS</t>
  </si>
  <si>
    <t xml:space="preserve">Sulfamethoxazole </t>
  </si>
  <si>
    <t>trimethoprim</t>
  </si>
  <si>
    <t xml:space="preserve">Sulfamethoxazole BP </t>
  </si>
  <si>
    <t xml:space="preserve">Each tablet contains: Sulphamethoxazole B.P. 800 mg and Trimethoprim B.P. 160 mg.
</t>
  </si>
  <si>
    <t>2017-03-22 07:07:57</t>
  </si>
  <si>
    <t>Sulfamethoxazole</t>
  </si>
  <si>
    <t>S 12 6</t>
  </si>
  <si>
    <t xml:space="preserve"> Trimethoprim BP</t>
  </si>
  <si>
    <t>TRIMETHOPRIM</t>
  </si>
  <si>
    <t>T7 4</t>
  </si>
  <si>
    <t>S 12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</si>
</sst>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C42" sqref="C42"/>
    </sheetView>
  </sheetViews>
  <sheetFormatPr defaultRowHeight="13.5" x14ac:dyDescent="0.25"/>
  <cols>
    <col min="1" max="1" width="27.5703125" style="56" customWidth="1"/>
    <col min="2" max="2" width="20.42578125" style="56" customWidth="1"/>
    <col min="3" max="3" width="31.85546875" style="56" customWidth="1"/>
    <col min="4" max="4" width="25.85546875" style="56" customWidth="1"/>
    <col min="5" max="5" width="25.7109375" style="56" customWidth="1"/>
    <col min="6" max="6" width="23.140625" style="56" customWidth="1"/>
    <col min="7" max="7" width="28.42578125" style="56" customWidth="1"/>
    <col min="8" max="8" width="21.5703125" style="56" customWidth="1"/>
    <col min="9" max="9" width="9.140625" style="56" customWidth="1"/>
    <col min="10" max="16384" width="9.140625" style="92"/>
  </cols>
  <sheetData>
    <row r="14" spans="1:6" ht="15" customHeight="1" x14ac:dyDescent="0.3">
      <c r="A14" s="55"/>
      <c r="C14" s="57"/>
      <c r="F14" s="57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8" t="s">
        <v>1</v>
      </c>
      <c r="B16" s="59" t="s">
        <v>2</v>
      </c>
    </row>
    <row r="17" spans="1:5" ht="16.5" customHeight="1" x14ac:dyDescent="0.3">
      <c r="A17" s="60" t="s">
        <v>3</v>
      </c>
      <c r="B17" s="60" t="s">
        <v>131</v>
      </c>
      <c r="D17" s="61"/>
      <c r="E17" s="62"/>
    </row>
    <row r="18" spans="1:5" ht="16.5" customHeight="1" x14ac:dyDescent="0.3">
      <c r="A18" s="63" t="s">
        <v>4</v>
      </c>
      <c r="B18" s="56" t="s">
        <v>132</v>
      </c>
      <c r="C18" s="62"/>
      <c r="D18" s="62"/>
      <c r="E18" s="62"/>
    </row>
    <row r="19" spans="1:5" ht="16.5" customHeight="1" x14ac:dyDescent="0.3">
      <c r="A19" s="63" t="s">
        <v>6</v>
      </c>
      <c r="B19" s="64">
        <v>99.8</v>
      </c>
      <c r="C19" s="62"/>
      <c r="D19" s="62"/>
      <c r="E19" s="62"/>
    </row>
    <row r="20" spans="1:5" ht="16.5" customHeight="1" x14ac:dyDescent="0.3">
      <c r="A20" s="60" t="s">
        <v>8</v>
      </c>
      <c r="B20" s="64">
        <v>16.47</v>
      </c>
      <c r="C20" s="62"/>
      <c r="D20" s="62"/>
      <c r="E20" s="62"/>
    </row>
    <row r="21" spans="1:5" ht="16.5" customHeight="1" x14ac:dyDescent="0.3">
      <c r="A21" s="60" t="s">
        <v>10</v>
      </c>
      <c r="B21" s="65">
        <f>B20/100</f>
        <v>0.16469999999999999</v>
      </c>
      <c r="C21" s="62"/>
      <c r="D21" s="62"/>
      <c r="E21" s="62"/>
    </row>
    <row r="22" spans="1:5" ht="15.75" customHeight="1" x14ac:dyDescent="0.25">
      <c r="A22" s="62"/>
      <c r="B22" s="62"/>
      <c r="C22" s="62"/>
      <c r="D22" s="62"/>
      <c r="E22" s="62"/>
    </row>
    <row r="23" spans="1:5" ht="16.5" customHeight="1" x14ac:dyDescent="0.3">
      <c r="A23" s="66" t="s">
        <v>13</v>
      </c>
      <c r="B23" s="67" t="s">
        <v>14</v>
      </c>
      <c r="C23" s="66" t="s">
        <v>15</v>
      </c>
      <c r="D23" s="66" t="s">
        <v>16</v>
      </c>
      <c r="E23" s="66" t="s">
        <v>17</v>
      </c>
    </row>
    <row r="24" spans="1:5" ht="16.5" customHeight="1" x14ac:dyDescent="0.3">
      <c r="A24" s="68">
        <v>1</v>
      </c>
      <c r="B24" s="69">
        <v>65963255</v>
      </c>
      <c r="C24" s="69">
        <v>8920.7000000000007</v>
      </c>
      <c r="D24" s="70">
        <v>1.3</v>
      </c>
      <c r="E24" s="71">
        <v>7.6</v>
      </c>
    </row>
    <row r="25" spans="1:5" ht="16.5" customHeight="1" x14ac:dyDescent="0.3">
      <c r="A25" s="68">
        <v>2</v>
      </c>
      <c r="B25" s="69">
        <v>65960782</v>
      </c>
      <c r="C25" s="69">
        <v>9089.7999999999993</v>
      </c>
      <c r="D25" s="70">
        <v>1.2</v>
      </c>
      <c r="E25" s="70">
        <v>7.6</v>
      </c>
    </row>
    <row r="26" spans="1:5" ht="16.5" customHeight="1" x14ac:dyDescent="0.3">
      <c r="A26" s="68">
        <v>3</v>
      </c>
      <c r="B26" s="69">
        <v>66177968</v>
      </c>
      <c r="C26" s="69">
        <v>8971.7000000000007</v>
      </c>
      <c r="D26" s="70">
        <v>1.2</v>
      </c>
      <c r="E26" s="70">
        <v>7.6</v>
      </c>
    </row>
    <row r="27" spans="1:5" ht="16.5" customHeight="1" x14ac:dyDescent="0.3">
      <c r="A27" s="68">
        <v>4</v>
      </c>
      <c r="B27" s="69">
        <v>66039574</v>
      </c>
      <c r="C27" s="69">
        <v>8476.9</v>
      </c>
      <c r="D27" s="70">
        <v>1.2</v>
      </c>
      <c r="E27" s="70">
        <v>7.6</v>
      </c>
    </row>
    <row r="28" spans="1:5" ht="16.5" customHeight="1" x14ac:dyDescent="0.3">
      <c r="A28" s="68">
        <v>5</v>
      </c>
      <c r="B28" s="69">
        <v>66167258</v>
      </c>
      <c r="C28" s="69">
        <v>8407.9</v>
      </c>
      <c r="D28" s="70">
        <v>1.3</v>
      </c>
      <c r="E28" s="70">
        <v>7.6</v>
      </c>
    </row>
    <row r="29" spans="1:5" ht="16.5" customHeight="1" x14ac:dyDescent="0.3">
      <c r="A29" s="68">
        <v>6</v>
      </c>
      <c r="B29" s="72">
        <v>66432927</v>
      </c>
      <c r="C29" s="72">
        <v>8255.4</v>
      </c>
      <c r="D29" s="73">
        <v>1.3</v>
      </c>
      <c r="E29" s="73">
        <v>7.6</v>
      </c>
    </row>
    <row r="30" spans="1:5" ht="16.5" customHeight="1" x14ac:dyDescent="0.3">
      <c r="A30" s="74" t="s">
        <v>18</v>
      </c>
      <c r="B30" s="75">
        <f>AVERAGE(B24:B29)</f>
        <v>66123627.333333336</v>
      </c>
      <c r="C30" s="76">
        <f>AVERAGE(C24:C29)</f>
        <v>8687.0666666666675</v>
      </c>
      <c r="D30" s="77">
        <f>AVERAGE(D24:D29)</f>
        <v>1.25</v>
      </c>
      <c r="E30" s="77">
        <v>7</v>
      </c>
    </row>
    <row r="31" spans="1:5" ht="16.5" customHeight="1" x14ac:dyDescent="0.3">
      <c r="A31" s="78" t="s">
        <v>19</v>
      </c>
      <c r="B31" s="79">
        <f>(STDEV(B24:B29)/B30)</f>
        <v>2.7038438407232523E-3</v>
      </c>
      <c r="C31" s="80"/>
      <c r="D31" s="80"/>
      <c r="E31" s="81"/>
    </row>
    <row r="32" spans="1:5" s="56" customFormat="1" ht="16.5" customHeight="1" x14ac:dyDescent="0.3">
      <c r="A32" s="82" t="s">
        <v>20</v>
      </c>
      <c r="B32" s="83">
        <f>COUNT(B24:B29)</f>
        <v>6</v>
      </c>
      <c r="C32" s="84"/>
      <c r="D32" s="85"/>
      <c r="E32" s="86"/>
    </row>
    <row r="33" spans="1:5" s="56" customFormat="1" ht="15.75" customHeight="1" x14ac:dyDescent="0.25">
      <c r="A33" s="62"/>
      <c r="B33" s="62"/>
      <c r="C33" s="62"/>
      <c r="D33" s="62"/>
      <c r="E33" s="62"/>
    </row>
    <row r="34" spans="1:5" s="56" customFormat="1" ht="16.5" customHeight="1" x14ac:dyDescent="0.3">
      <c r="A34" s="63" t="s">
        <v>21</v>
      </c>
      <c r="B34" s="87" t="s">
        <v>22</v>
      </c>
      <c r="C34" s="88"/>
      <c r="D34" s="88"/>
      <c r="E34" s="88"/>
    </row>
    <row r="35" spans="1:5" ht="16.5" customHeight="1" x14ac:dyDescent="0.3">
      <c r="A35" s="63"/>
      <c r="B35" s="87" t="s">
        <v>23</v>
      </c>
      <c r="C35" s="88"/>
      <c r="D35" s="88"/>
      <c r="E35" s="88"/>
    </row>
    <row r="36" spans="1:5" ht="16.5" customHeight="1" x14ac:dyDescent="0.3">
      <c r="A36" s="63"/>
      <c r="B36" s="87" t="s">
        <v>24</v>
      </c>
      <c r="C36" s="88"/>
      <c r="D36" s="88"/>
      <c r="E36" s="88"/>
    </row>
    <row r="37" spans="1:5" ht="15.75" customHeight="1" x14ac:dyDescent="0.25">
      <c r="A37" s="62"/>
      <c r="B37" s="62"/>
      <c r="C37" s="62"/>
      <c r="D37" s="62"/>
      <c r="E37" s="62"/>
    </row>
    <row r="38" spans="1:5" ht="16.5" customHeight="1" x14ac:dyDescent="0.3">
      <c r="A38" s="58" t="s">
        <v>1</v>
      </c>
      <c r="B38" s="59" t="s">
        <v>25</v>
      </c>
    </row>
    <row r="39" spans="1:5" ht="16.5" customHeight="1" x14ac:dyDescent="0.3">
      <c r="A39" s="63" t="s">
        <v>4</v>
      </c>
      <c r="B39" s="56" t="s">
        <v>132</v>
      </c>
      <c r="C39" s="62"/>
      <c r="D39" s="62"/>
      <c r="E39" s="62"/>
    </row>
    <row r="40" spans="1:5" ht="16.5" customHeight="1" x14ac:dyDescent="0.3">
      <c r="A40" s="63" t="s">
        <v>6</v>
      </c>
      <c r="B40" s="64">
        <v>99.02</v>
      </c>
      <c r="C40" s="62"/>
      <c r="D40" s="62"/>
      <c r="E40" s="62"/>
    </row>
    <row r="41" spans="1:5" ht="16.5" customHeight="1" x14ac:dyDescent="0.3">
      <c r="A41" s="60" t="s">
        <v>8</v>
      </c>
      <c r="B41" s="64">
        <v>15.33</v>
      </c>
      <c r="C41" s="62"/>
      <c r="D41" s="62"/>
      <c r="E41" s="62"/>
    </row>
    <row r="42" spans="1:5" ht="16.5" customHeight="1" x14ac:dyDescent="0.3">
      <c r="A42" s="60" t="s">
        <v>10</v>
      </c>
      <c r="B42" s="65">
        <f>B41/100</f>
        <v>0.15329999999999999</v>
      </c>
      <c r="C42" s="62"/>
      <c r="D42" s="62"/>
      <c r="E42" s="62"/>
    </row>
    <row r="43" spans="1:5" ht="15.75" customHeight="1" x14ac:dyDescent="0.25">
      <c r="A43" s="62"/>
      <c r="B43" s="62"/>
      <c r="C43" s="62"/>
      <c r="D43" s="62"/>
      <c r="E43" s="62"/>
    </row>
    <row r="44" spans="1:5" ht="16.5" customHeight="1" x14ac:dyDescent="0.3">
      <c r="A44" s="66" t="s">
        <v>13</v>
      </c>
      <c r="B44" s="67" t="s">
        <v>14</v>
      </c>
      <c r="C44" s="66" t="s">
        <v>15</v>
      </c>
      <c r="D44" s="66" t="s">
        <v>16</v>
      </c>
      <c r="E44" s="66" t="s">
        <v>17</v>
      </c>
    </row>
    <row r="45" spans="1:5" ht="16.5" customHeight="1" x14ac:dyDescent="0.3">
      <c r="A45" s="68">
        <v>1</v>
      </c>
      <c r="B45" s="2">
        <v>56970761</v>
      </c>
      <c r="C45" s="2">
        <v>11481.7</v>
      </c>
      <c r="D45" s="3">
        <v>1</v>
      </c>
      <c r="E45" s="4">
        <v>6.9</v>
      </c>
    </row>
    <row r="46" spans="1:5" ht="16.5" customHeight="1" x14ac:dyDescent="0.3">
      <c r="A46" s="68">
        <v>2</v>
      </c>
      <c r="B46" s="2">
        <v>57025806</v>
      </c>
      <c r="C46" s="2">
        <v>11640.2</v>
      </c>
      <c r="D46" s="3">
        <v>0.9</v>
      </c>
      <c r="E46" s="3">
        <v>6.9</v>
      </c>
    </row>
    <row r="47" spans="1:5" ht="16.5" customHeight="1" x14ac:dyDescent="0.3">
      <c r="A47" s="68">
        <v>3</v>
      </c>
      <c r="B47" s="2">
        <v>57263011</v>
      </c>
      <c r="C47" s="2">
        <v>11518.8</v>
      </c>
      <c r="D47" s="3">
        <v>1</v>
      </c>
      <c r="E47" s="3">
        <v>6.9</v>
      </c>
    </row>
    <row r="48" spans="1:5" ht="16.5" customHeight="1" x14ac:dyDescent="0.3">
      <c r="A48" s="68">
        <v>4</v>
      </c>
      <c r="B48" s="2">
        <v>57086193</v>
      </c>
      <c r="C48" s="2">
        <v>11569.7</v>
      </c>
      <c r="D48" s="3">
        <v>1</v>
      </c>
      <c r="E48" s="3">
        <v>6.9</v>
      </c>
    </row>
    <row r="49" spans="1:7" ht="16.5" customHeight="1" x14ac:dyDescent="0.3">
      <c r="A49" s="68">
        <v>5</v>
      </c>
      <c r="B49" s="2">
        <v>57194038</v>
      </c>
      <c r="C49" s="2">
        <v>11714.2</v>
      </c>
      <c r="D49" s="3">
        <v>0.9</v>
      </c>
      <c r="E49" s="3">
        <v>6.9</v>
      </c>
    </row>
    <row r="50" spans="1:7" ht="16.5" customHeight="1" x14ac:dyDescent="0.3">
      <c r="A50" s="68">
        <v>6</v>
      </c>
      <c r="B50" s="5">
        <v>57576534</v>
      </c>
      <c r="C50" s="5">
        <v>11600.9</v>
      </c>
      <c r="D50" s="6">
        <v>1</v>
      </c>
      <c r="E50" s="6">
        <v>6.9</v>
      </c>
    </row>
    <row r="51" spans="1:7" ht="16.5" customHeight="1" x14ac:dyDescent="0.3">
      <c r="A51" s="74" t="s">
        <v>18</v>
      </c>
      <c r="B51" s="75">
        <f>AVERAGE(B45:B50)</f>
        <v>57186057.166666664</v>
      </c>
      <c r="C51" s="76">
        <f>AVERAGE(C45:C50)</f>
        <v>11587.58333333333</v>
      </c>
      <c r="D51" s="77">
        <f>AVERAGE(D45:D50)</f>
        <v>0.96666666666666667</v>
      </c>
      <c r="E51" s="77">
        <f>AVERAGE(E45:E50)</f>
        <v>6.8999999999999995</v>
      </c>
    </row>
    <row r="52" spans="1:7" ht="16.5" customHeight="1" x14ac:dyDescent="0.3">
      <c r="A52" s="78" t="s">
        <v>19</v>
      </c>
      <c r="B52" s="79">
        <f>(STDEV(B45:B50)/B51)</f>
        <v>3.8348589934575402E-3</v>
      </c>
      <c r="C52" s="80"/>
      <c r="D52" s="80"/>
      <c r="E52" s="81"/>
    </row>
    <row r="53" spans="1:7" s="56" customFormat="1" ht="16.5" customHeight="1" x14ac:dyDescent="0.3">
      <c r="A53" s="82" t="s">
        <v>20</v>
      </c>
      <c r="B53" s="83">
        <f>COUNT(B45:B50)</f>
        <v>6</v>
      </c>
      <c r="C53" s="84"/>
      <c r="D53" s="85"/>
      <c r="E53" s="86"/>
    </row>
    <row r="54" spans="1:7" s="56" customFormat="1" ht="15.75" customHeight="1" x14ac:dyDescent="0.25">
      <c r="A54" s="62"/>
      <c r="B54" s="62"/>
      <c r="C54" s="62"/>
      <c r="D54" s="62"/>
      <c r="E54" s="62"/>
    </row>
    <row r="55" spans="1:7" s="56" customFormat="1" ht="16.5" customHeight="1" x14ac:dyDescent="0.3">
      <c r="A55" s="63" t="s">
        <v>21</v>
      </c>
      <c r="B55" s="87" t="s">
        <v>22</v>
      </c>
      <c r="C55" s="88"/>
      <c r="D55" s="88"/>
      <c r="E55" s="88"/>
    </row>
    <row r="56" spans="1:7" ht="16.5" customHeight="1" x14ac:dyDescent="0.3">
      <c r="A56" s="63"/>
      <c r="B56" s="87" t="s">
        <v>23</v>
      </c>
      <c r="C56" s="88"/>
      <c r="D56" s="88"/>
      <c r="E56" s="88"/>
    </row>
    <row r="57" spans="1:7" ht="16.5" customHeight="1" x14ac:dyDescent="0.3">
      <c r="A57" s="63"/>
      <c r="B57" s="87" t="s">
        <v>24</v>
      </c>
      <c r="C57" s="88"/>
      <c r="D57" s="88"/>
      <c r="E57" s="88"/>
    </row>
    <row r="58" spans="1:7" ht="14.25" customHeight="1" thickBot="1" x14ac:dyDescent="0.3">
      <c r="A58" s="89"/>
      <c r="B58" s="90"/>
      <c r="D58" s="91"/>
      <c r="F58" s="92"/>
      <c r="G58" s="92"/>
    </row>
    <row r="59" spans="1:7" ht="15" customHeight="1" x14ac:dyDescent="0.3">
      <c r="B59" s="470" t="s">
        <v>26</v>
      </c>
      <c r="C59" s="470"/>
      <c r="E59" s="93" t="s">
        <v>27</v>
      </c>
      <c r="F59" s="94"/>
      <c r="G59" s="93" t="s">
        <v>28</v>
      </c>
    </row>
    <row r="60" spans="1:7" ht="15" customHeight="1" x14ac:dyDescent="0.3">
      <c r="A60" s="95" t="s">
        <v>29</v>
      </c>
      <c r="B60" s="96"/>
      <c r="C60" s="96"/>
      <c r="E60" s="96"/>
      <c r="G60" s="96"/>
    </row>
    <row r="61" spans="1:7" ht="15" customHeight="1" x14ac:dyDescent="0.3">
      <c r="A61" s="95" t="s">
        <v>30</v>
      </c>
      <c r="B61" s="97"/>
      <c r="C61" s="97"/>
      <c r="E61" s="97"/>
      <c r="G61" s="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5" sqref="B45:E50"/>
    </sheetView>
  </sheetViews>
  <sheetFormatPr defaultRowHeight="13.5" x14ac:dyDescent="0.25"/>
  <cols>
    <col min="1" max="1" width="27.5703125" style="100" customWidth="1"/>
    <col min="2" max="2" width="20.42578125" style="100" customWidth="1"/>
    <col min="3" max="3" width="31.85546875" style="100" customWidth="1"/>
    <col min="4" max="4" width="25.85546875" style="100" customWidth="1"/>
    <col min="5" max="5" width="25.7109375" style="100" customWidth="1"/>
    <col min="6" max="6" width="23.140625" style="100" customWidth="1"/>
    <col min="7" max="7" width="28.42578125" style="100" customWidth="1"/>
    <col min="8" max="8" width="21.5703125" style="100" customWidth="1"/>
    <col min="9" max="9" width="9.140625" style="100" customWidth="1"/>
    <col min="10" max="16384" width="9.140625" style="136"/>
  </cols>
  <sheetData>
    <row r="14" spans="1:6" ht="15" customHeight="1" x14ac:dyDescent="0.3">
      <c r="A14" s="99"/>
      <c r="C14" s="101"/>
      <c r="F14" s="101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102" t="s">
        <v>1</v>
      </c>
      <c r="B16" s="103" t="s">
        <v>2</v>
      </c>
    </row>
    <row r="17" spans="1:5" ht="16.5" customHeight="1" x14ac:dyDescent="0.3">
      <c r="A17" s="104" t="s">
        <v>3</v>
      </c>
      <c r="B17" s="104" t="s">
        <v>131</v>
      </c>
      <c r="D17" s="105"/>
      <c r="E17" s="106"/>
    </row>
    <row r="18" spans="1:5" ht="16.5" customHeight="1" x14ac:dyDescent="0.3">
      <c r="A18" s="107" t="s">
        <v>4</v>
      </c>
      <c r="B18" s="100" t="s">
        <v>133</v>
      </c>
      <c r="C18" s="106"/>
      <c r="D18" s="106"/>
      <c r="E18" s="106"/>
    </row>
    <row r="19" spans="1:5" ht="16.5" customHeight="1" x14ac:dyDescent="0.3">
      <c r="A19" s="107" t="s">
        <v>6</v>
      </c>
      <c r="B19" s="108">
        <v>99.3</v>
      </c>
      <c r="C19" s="106"/>
      <c r="D19" s="106"/>
      <c r="E19" s="106"/>
    </row>
    <row r="20" spans="1:5" ht="16.5" customHeight="1" x14ac:dyDescent="0.3">
      <c r="A20" s="104" t="s">
        <v>8</v>
      </c>
      <c r="B20" s="108">
        <v>19.46</v>
      </c>
      <c r="C20" s="106"/>
      <c r="D20" s="106"/>
      <c r="E20" s="106"/>
    </row>
    <row r="21" spans="1:5" ht="16.5" customHeight="1" x14ac:dyDescent="0.3">
      <c r="A21" s="104" t="s">
        <v>10</v>
      </c>
      <c r="B21" s="109">
        <f>B20/25*4/100</f>
        <v>3.1136E-2</v>
      </c>
      <c r="C21" s="106"/>
      <c r="D21" s="106"/>
      <c r="E21" s="106"/>
    </row>
    <row r="22" spans="1:5" ht="15.75" customHeight="1" x14ac:dyDescent="0.25">
      <c r="A22" s="106"/>
      <c r="B22" s="106"/>
      <c r="C22" s="106"/>
      <c r="D22" s="106"/>
      <c r="E22" s="106"/>
    </row>
    <row r="23" spans="1:5" ht="16.5" customHeight="1" x14ac:dyDescent="0.3">
      <c r="A23" s="110" t="s">
        <v>13</v>
      </c>
      <c r="B23" s="111" t="s">
        <v>14</v>
      </c>
      <c r="C23" s="110" t="s">
        <v>15</v>
      </c>
      <c r="D23" s="110" t="s">
        <v>16</v>
      </c>
      <c r="E23" s="110" t="s">
        <v>17</v>
      </c>
    </row>
    <row r="24" spans="1:5" ht="16.5" customHeight="1" x14ac:dyDescent="0.3">
      <c r="A24" s="112">
        <v>1</v>
      </c>
      <c r="B24" s="113">
        <v>4593822</v>
      </c>
      <c r="C24" s="113">
        <v>5507.7</v>
      </c>
      <c r="D24" s="114">
        <v>1.6</v>
      </c>
      <c r="E24" s="115">
        <v>3.9</v>
      </c>
    </row>
    <row r="25" spans="1:5" ht="16.5" customHeight="1" x14ac:dyDescent="0.3">
      <c r="A25" s="112">
        <v>2</v>
      </c>
      <c r="B25" s="113">
        <v>4586513</v>
      </c>
      <c r="C25" s="113">
        <v>5800.3</v>
      </c>
      <c r="D25" s="114">
        <v>1.4</v>
      </c>
      <c r="E25" s="114">
        <v>3.9</v>
      </c>
    </row>
    <row r="26" spans="1:5" ht="16.5" customHeight="1" x14ac:dyDescent="0.3">
      <c r="A26" s="112">
        <v>3</v>
      </c>
      <c r="B26" s="113">
        <v>4592903</v>
      </c>
      <c r="C26" s="113">
        <v>5558.8</v>
      </c>
      <c r="D26" s="114">
        <v>1.4</v>
      </c>
      <c r="E26" s="114">
        <v>3.9</v>
      </c>
    </row>
    <row r="27" spans="1:5" ht="16.5" customHeight="1" x14ac:dyDescent="0.3">
      <c r="A27" s="112">
        <v>4</v>
      </c>
      <c r="B27" s="113">
        <v>4583015</v>
      </c>
      <c r="C27" s="113">
        <v>5765.6</v>
      </c>
      <c r="D27" s="114">
        <v>1.4</v>
      </c>
      <c r="E27" s="114">
        <v>3.9</v>
      </c>
    </row>
    <row r="28" spans="1:5" ht="16.5" customHeight="1" x14ac:dyDescent="0.3">
      <c r="A28" s="112">
        <v>5</v>
      </c>
      <c r="B28" s="113">
        <v>4586942</v>
      </c>
      <c r="C28" s="113">
        <v>5620.9</v>
      </c>
      <c r="D28" s="114">
        <v>1.4</v>
      </c>
      <c r="E28" s="114">
        <v>3.9</v>
      </c>
    </row>
    <row r="29" spans="1:5" ht="16.5" customHeight="1" x14ac:dyDescent="0.3">
      <c r="A29" s="112">
        <v>6</v>
      </c>
      <c r="B29" s="116">
        <v>4608309</v>
      </c>
      <c r="C29" s="116">
        <v>5559.5</v>
      </c>
      <c r="D29" s="117">
        <v>1.4</v>
      </c>
      <c r="E29" s="117">
        <v>3.9</v>
      </c>
    </row>
    <row r="30" spans="1:5" ht="16.5" customHeight="1" x14ac:dyDescent="0.3">
      <c r="A30" s="118" t="s">
        <v>18</v>
      </c>
      <c r="B30" s="119">
        <f>AVERAGE(B24:B29)</f>
        <v>4591917.333333333</v>
      </c>
      <c r="C30" s="120">
        <f>AVERAGE(C24:C29)</f>
        <v>5635.4666666666672</v>
      </c>
      <c r="D30" s="121">
        <f>AVERAGE(D24:D29)</f>
        <v>1.4333333333333336</v>
      </c>
      <c r="E30" s="121">
        <f>AVERAGE(E24:E29)</f>
        <v>3.9</v>
      </c>
    </row>
    <row r="31" spans="1:5" ht="16.5" customHeight="1" x14ac:dyDescent="0.3">
      <c r="A31" s="122" t="s">
        <v>19</v>
      </c>
      <c r="B31" s="123">
        <f>(STDEV(B24:B29)/B30)</f>
        <v>1.9635877738751126E-3</v>
      </c>
      <c r="C31" s="124"/>
      <c r="D31" s="124"/>
      <c r="E31" s="125"/>
    </row>
    <row r="32" spans="1:5" s="100" customFormat="1" ht="16.5" customHeight="1" x14ac:dyDescent="0.3">
      <c r="A32" s="126" t="s">
        <v>20</v>
      </c>
      <c r="B32" s="127">
        <f>COUNT(B24:B29)</f>
        <v>6</v>
      </c>
      <c r="C32" s="128"/>
      <c r="D32" s="129"/>
      <c r="E32" s="130"/>
    </row>
    <row r="33" spans="1:5" s="100" customFormat="1" ht="15.75" customHeight="1" x14ac:dyDescent="0.25">
      <c r="A33" s="106"/>
      <c r="B33" s="106"/>
      <c r="C33" s="106"/>
      <c r="D33" s="106"/>
      <c r="E33" s="106"/>
    </row>
    <row r="34" spans="1:5" s="100" customFormat="1" ht="16.5" customHeight="1" x14ac:dyDescent="0.3">
      <c r="A34" s="107" t="s">
        <v>21</v>
      </c>
      <c r="B34" s="131" t="s">
        <v>22</v>
      </c>
      <c r="C34" s="132"/>
      <c r="D34" s="132"/>
      <c r="E34" s="132"/>
    </row>
    <row r="35" spans="1:5" ht="16.5" customHeight="1" x14ac:dyDescent="0.3">
      <c r="A35" s="107"/>
      <c r="B35" s="131" t="s">
        <v>23</v>
      </c>
      <c r="C35" s="132"/>
      <c r="D35" s="132"/>
      <c r="E35" s="132"/>
    </row>
    <row r="36" spans="1:5" ht="16.5" customHeight="1" x14ac:dyDescent="0.3">
      <c r="A36" s="107"/>
      <c r="B36" s="131" t="s">
        <v>24</v>
      </c>
      <c r="C36" s="132"/>
      <c r="D36" s="132"/>
      <c r="E36" s="132"/>
    </row>
    <row r="37" spans="1:5" ht="15.75" customHeight="1" x14ac:dyDescent="0.25">
      <c r="A37" s="106"/>
      <c r="B37" s="106"/>
      <c r="C37" s="106"/>
      <c r="D37" s="106"/>
      <c r="E37" s="106"/>
    </row>
    <row r="38" spans="1:5" ht="16.5" customHeight="1" x14ac:dyDescent="0.3">
      <c r="A38" s="102" t="s">
        <v>1</v>
      </c>
      <c r="B38" s="103" t="s">
        <v>25</v>
      </c>
    </row>
    <row r="39" spans="1:5" ht="16.5" customHeight="1" x14ac:dyDescent="0.3">
      <c r="A39" s="107" t="s">
        <v>4</v>
      </c>
      <c r="B39" s="104" t="s">
        <v>140</v>
      </c>
      <c r="C39" s="106"/>
      <c r="D39" s="106"/>
      <c r="E39" s="106"/>
    </row>
    <row r="40" spans="1:5" ht="16.5" customHeight="1" x14ac:dyDescent="0.3">
      <c r="A40" s="107" t="s">
        <v>6</v>
      </c>
      <c r="B40" s="108">
        <v>99.3</v>
      </c>
      <c r="C40" s="106"/>
      <c r="D40" s="106"/>
      <c r="E40" s="106"/>
    </row>
    <row r="41" spans="1:5" ht="16.5" customHeight="1" x14ac:dyDescent="0.3">
      <c r="A41" s="104" t="s">
        <v>8</v>
      </c>
      <c r="B41" s="108">
        <v>19.96</v>
      </c>
      <c r="C41" s="106"/>
      <c r="D41" s="106"/>
      <c r="E41" s="106"/>
    </row>
    <row r="42" spans="1:5" ht="16.5" customHeight="1" x14ac:dyDescent="0.3">
      <c r="A42" s="104" t="s">
        <v>10</v>
      </c>
      <c r="B42" s="109">
        <f>B41/25*4/100</f>
        <v>3.1935999999999999E-2</v>
      </c>
      <c r="C42" s="106"/>
      <c r="D42" s="106"/>
      <c r="E42" s="106"/>
    </row>
    <row r="43" spans="1:5" ht="15.75" customHeight="1" x14ac:dyDescent="0.25">
      <c r="A43" s="106"/>
      <c r="B43" s="106"/>
      <c r="C43" s="106"/>
      <c r="D43" s="106"/>
      <c r="E43" s="106"/>
    </row>
    <row r="44" spans="1:5" ht="16.5" customHeight="1" x14ac:dyDescent="0.3">
      <c r="A44" s="110" t="s">
        <v>13</v>
      </c>
      <c r="B44" s="111" t="s">
        <v>14</v>
      </c>
      <c r="C44" s="110" t="s">
        <v>15</v>
      </c>
      <c r="D44" s="110" t="s">
        <v>16</v>
      </c>
      <c r="E44" s="110" t="s">
        <v>17</v>
      </c>
    </row>
    <row r="45" spans="1:5" ht="16.5" customHeight="1" x14ac:dyDescent="0.3">
      <c r="A45" s="112">
        <v>1</v>
      </c>
      <c r="B45" s="2">
        <v>4455491</v>
      </c>
      <c r="C45" s="2">
        <v>8516.9</v>
      </c>
      <c r="D45" s="3">
        <v>1.1000000000000001</v>
      </c>
      <c r="E45" s="4">
        <v>4.0999999999999996</v>
      </c>
    </row>
    <row r="46" spans="1:5" ht="16.5" customHeight="1" x14ac:dyDescent="0.3">
      <c r="A46" s="112">
        <v>2</v>
      </c>
      <c r="B46" s="2">
        <v>4444967</v>
      </c>
      <c r="C46" s="2">
        <v>8539.6</v>
      </c>
      <c r="D46" s="3">
        <v>1.1000000000000001</v>
      </c>
      <c r="E46" s="3">
        <v>4.0999999999999996</v>
      </c>
    </row>
    <row r="47" spans="1:5" ht="16.5" customHeight="1" x14ac:dyDescent="0.3">
      <c r="A47" s="112">
        <v>3</v>
      </c>
      <c r="B47" s="2">
        <v>4452746</v>
      </c>
      <c r="C47" s="2">
        <v>8533.6</v>
      </c>
      <c r="D47" s="3">
        <v>1.1000000000000001</v>
      </c>
      <c r="E47" s="3">
        <v>4.0999999999999996</v>
      </c>
    </row>
    <row r="48" spans="1:5" ht="16.5" customHeight="1" x14ac:dyDescent="0.3">
      <c r="A48" s="112">
        <v>4</v>
      </c>
      <c r="B48" s="2">
        <v>4423938</v>
      </c>
      <c r="C48" s="2">
        <v>8521.2000000000007</v>
      </c>
      <c r="D48" s="3">
        <v>1.1000000000000001</v>
      </c>
      <c r="E48" s="3">
        <v>4.0999999999999996</v>
      </c>
    </row>
    <row r="49" spans="1:7" ht="16.5" customHeight="1" x14ac:dyDescent="0.3">
      <c r="A49" s="112">
        <v>5</v>
      </c>
      <c r="B49" s="2">
        <v>4419696</v>
      </c>
      <c r="C49" s="2">
        <v>8606.6</v>
      </c>
      <c r="D49" s="3">
        <v>1.1000000000000001</v>
      </c>
      <c r="E49" s="3">
        <v>4.0999999999999996</v>
      </c>
    </row>
    <row r="50" spans="1:7" ht="16.5" customHeight="1" x14ac:dyDescent="0.3">
      <c r="A50" s="112">
        <v>6</v>
      </c>
      <c r="B50" s="5">
        <v>4439373</v>
      </c>
      <c r="C50" s="5">
        <v>8595</v>
      </c>
      <c r="D50" s="6">
        <v>1.1000000000000001</v>
      </c>
      <c r="E50" s="6">
        <v>4.0999999999999996</v>
      </c>
    </row>
    <row r="51" spans="1:7" ht="16.5" customHeight="1" x14ac:dyDescent="0.3">
      <c r="A51" s="118" t="s">
        <v>18</v>
      </c>
      <c r="B51" s="119">
        <f>AVERAGE(B45:B50)</f>
        <v>4439368.5</v>
      </c>
      <c r="C51" s="120">
        <f>AVERAGE(C45:C50)</f>
        <v>8552.15</v>
      </c>
      <c r="D51" s="121">
        <f>AVERAGE(D45:D50)</f>
        <v>1.0999999999999999</v>
      </c>
      <c r="E51" s="121">
        <f>AVERAGE(E45:E50)</f>
        <v>4.1000000000000005</v>
      </c>
    </row>
    <row r="52" spans="1:7" ht="16.5" customHeight="1" x14ac:dyDescent="0.3">
      <c r="A52" s="122" t="s">
        <v>19</v>
      </c>
      <c r="B52" s="123">
        <f>(STDEV(B45:B50)/B51)</f>
        <v>3.3340256292835242E-3</v>
      </c>
      <c r="C52" s="124"/>
      <c r="D52" s="124"/>
      <c r="E52" s="125"/>
    </row>
    <row r="53" spans="1:7" s="100" customFormat="1" ht="16.5" customHeight="1" x14ac:dyDescent="0.3">
      <c r="A53" s="126" t="s">
        <v>20</v>
      </c>
      <c r="B53" s="127">
        <f>COUNT(B45:B50)</f>
        <v>6</v>
      </c>
      <c r="C53" s="128"/>
      <c r="D53" s="129"/>
      <c r="E53" s="130"/>
    </row>
    <row r="54" spans="1:7" s="100" customFormat="1" ht="15.75" customHeight="1" x14ac:dyDescent="0.25">
      <c r="A54" s="106"/>
      <c r="B54" s="106"/>
      <c r="C54" s="106"/>
      <c r="D54" s="106"/>
      <c r="E54" s="106"/>
    </row>
    <row r="55" spans="1:7" s="100" customFormat="1" ht="16.5" customHeight="1" x14ac:dyDescent="0.3">
      <c r="A55" s="107" t="s">
        <v>21</v>
      </c>
      <c r="B55" s="131" t="s">
        <v>22</v>
      </c>
      <c r="C55" s="132"/>
      <c r="D55" s="132"/>
      <c r="E55" s="132"/>
    </row>
    <row r="56" spans="1:7" ht="16.5" customHeight="1" x14ac:dyDescent="0.3">
      <c r="A56" s="107"/>
      <c r="B56" s="131" t="s">
        <v>23</v>
      </c>
      <c r="C56" s="132"/>
      <c r="D56" s="132"/>
      <c r="E56" s="132"/>
    </row>
    <row r="57" spans="1:7" ht="16.5" customHeight="1" x14ac:dyDescent="0.3">
      <c r="A57" s="107"/>
      <c r="B57" s="131" t="s">
        <v>24</v>
      </c>
      <c r="C57" s="132"/>
      <c r="D57" s="132"/>
      <c r="E57" s="132"/>
    </row>
    <row r="58" spans="1:7" ht="14.25" customHeight="1" thickBot="1" x14ac:dyDescent="0.3">
      <c r="A58" s="133"/>
      <c r="B58" s="134"/>
      <c r="D58" s="135"/>
      <c r="F58" s="136"/>
      <c r="G58" s="136"/>
    </row>
    <row r="59" spans="1:7" ht="15" customHeight="1" x14ac:dyDescent="0.3">
      <c r="B59" s="472" t="s">
        <v>26</v>
      </c>
      <c r="C59" s="472"/>
      <c r="E59" s="137" t="s">
        <v>27</v>
      </c>
      <c r="F59" s="138"/>
      <c r="G59" s="137" t="s">
        <v>28</v>
      </c>
    </row>
    <row r="60" spans="1:7" ht="15" customHeight="1" x14ac:dyDescent="0.3">
      <c r="A60" s="139" t="s">
        <v>29</v>
      </c>
      <c r="B60" s="140"/>
      <c r="C60" s="140"/>
      <c r="E60" s="140"/>
      <c r="G60" s="140"/>
    </row>
    <row r="61" spans="1:7" ht="15" customHeight="1" x14ac:dyDescent="0.3">
      <c r="A61" s="139" t="s">
        <v>30</v>
      </c>
      <c r="B61" s="141"/>
      <c r="C61" s="141"/>
      <c r="E61" s="141"/>
      <c r="G61" s="1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6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5"/>
    </row>
    <row r="14" spans="1:7" ht="16.5" customHeight="1" x14ac:dyDescent="0.3">
      <c r="A14" s="480" t="s">
        <v>33</v>
      </c>
      <c r="B14" s="480"/>
      <c r="C14" s="15" t="s">
        <v>5</v>
      </c>
    </row>
    <row r="15" spans="1:7" ht="16.5" customHeight="1" x14ac:dyDescent="0.3">
      <c r="A15" s="480" t="s">
        <v>34</v>
      </c>
      <c r="B15" s="480"/>
      <c r="C15" s="15" t="s">
        <v>7</v>
      </c>
    </row>
    <row r="16" spans="1:7" ht="16.5" customHeight="1" x14ac:dyDescent="0.3">
      <c r="A16" s="480" t="s">
        <v>35</v>
      </c>
      <c r="B16" s="480"/>
      <c r="C16" s="15" t="s">
        <v>9</v>
      </c>
    </row>
    <row r="17" spans="1:5" ht="16.5" customHeight="1" x14ac:dyDescent="0.3">
      <c r="A17" s="480" t="s">
        <v>36</v>
      </c>
      <c r="B17" s="480"/>
      <c r="C17" s="15" t="s">
        <v>11</v>
      </c>
    </row>
    <row r="18" spans="1:5" ht="16.5" customHeight="1" x14ac:dyDescent="0.3">
      <c r="A18" s="480" t="s">
        <v>37</v>
      </c>
      <c r="B18" s="480"/>
      <c r="C18" s="52" t="s">
        <v>12</v>
      </c>
    </row>
    <row r="19" spans="1:5" ht="16.5" customHeight="1" x14ac:dyDescent="0.3">
      <c r="A19" s="480" t="s">
        <v>38</v>
      </c>
      <c r="B19" s="480"/>
      <c r="C19" s="52" t="e">
        <f>#REF!</f>
        <v>#REF!</v>
      </c>
    </row>
    <row r="20" spans="1:5" ht="16.5" customHeight="1" x14ac:dyDescent="0.3">
      <c r="A20" s="17"/>
      <c r="B20" s="17"/>
      <c r="C20" s="32"/>
    </row>
    <row r="21" spans="1:5" ht="16.5" customHeight="1" x14ac:dyDescent="0.3">
      <c r="A21" s="475" t="s">
        <v>1</v>
      </c>
      <c r="B21" s="475"/>
      <c r="C21" s="14" t="s">
        <v>39</v>
      </c>
      <c r="D21" s="21"/>
    </row>
    <row r="22" spans="1:5" ht="15.75" customHeight="1" x14ac:dyDescent="0.3">
      <c r="A22" s="479"/>
      <c r="B22" s="479"/>
      <c r="C22" s="12"/>
      <c r="D22" s="479"/>
      <c r="E22" s="479"/>
    </row>
    <row r="23" spans="1:5" ht="33.75" customHeight="1" x14ac:dyDescent="0.3">
      <c r="C23" s="41" t="s">
        <v>40</v>
      </c>
      <c r="D23" s="40" t="s">
        <v>41</v>
      </c>
      <c r="E23" s="7"/>
    </row>
    <row r="24" spans="1:5" ht="15.75" customHeight="1" x14ac:dyDescent="0.3">
      <c r="C24" s="50">
        <v>1035.5899999999999</v>
      </c>
      <c r="D24" s="42">
        <f t="shared" ref="D24:D43" si="0">(C24-$C$46)/$C$46</f>
        <v>-8.0104219301165101E-3</v>
      </c>
      <c r="E24" s="8"/>
    </row>
    <row r="25" spans="1:5" ht="15.75" customHeight="1" x14ac:dyDescent="0.3">
      <c r="C25" s="50">
        <v>1035.4100000000001</v>
      </c>
      <c r="D25" s="43">
        <f t="shared" si="0"/>
        <v>-8.1828435680740188E-3</v>
      </c>
      <c r="E25" s="8"/>
    </row>
    <row r="26" spans="1:5" ht="15.75" customHeight="1" x14ac:dyDescent="0.3">
      <c r="C26" s="50">
        <v>1048.76</v>
      </c>
      <c r="D26" s="43">
        <f t="shared" si="0"/>
        <v>4.6050945804527689E-3</v>
      </c>
      <c r="E26" s="8"/>
    </row>
    <row r="27" spans="1:5" ht="15.75" customHeight="1" x14ac:dyDescent="0.3">
      <c r="C27" s="50">
        <v>1044.77</v>
      </c>
      <c r="D27" s="43">
        <f t="shared" si="0"/>
        <v>7.8308160572450303E-4</v>
      </c>
      <c r="E27" s="8"/>
    </row>
    <row r="28" spans="1:5" ht="15.75" customHeight="1" x14ac:dyDescent="0.3">
      <c r="C28" s="50">
        <v>1049.78</v>
      </c>
      <c r="D28" s="43">
        <f t="shared" si="0"/>
        <v>5.5821505288795236E-3</v>
      </c>
      <c r="E28" s="8"/>
    </row>
    <row r="29" spans="1:5" ht="15.75" customHeight="1" x14ac:dyDescent="0.3">
      <c r="C29" s="50">
        <v>1046.1300000000001</v>
      </c>
      <c r="D29" s="43">
        <f t="shared" si="0"/>
        <v>2.085822870293655E-3</v>
      </c>
      <c r="E29" s="8"/>
    </row>
    <row r="30" spans="1:5" ht="15.75" customHeight="1" x14ac:dyDescent="0.3">
      <c r="C30" s="50">
        <v>1052.1199999999999</v>
      </c>
      <c r="D30" s="43">
        <f t="shared" si="0"/>
        <v>7.8236318223290999E-3</v>
      </c>
      <c r="E30" s="8"/>
    </row>
    <row r="31" spans="1:5" ht="15.75" customHeight="1" x14ac:dyDescent="0.3">
      <c r="C31" s="50">
        <v>1048.1199999999999</v>
      </c>
      <c r="D31" s="43">
        <f t="shared" si="0"/>
        <v>3.992039867714306E-3</v>
      </c>
      <c r="E31" s="8"/>
    </row>
    <row r="32" spans="1:5" ht="15.75" customHeight="1" x14ac:dyDescent="0.3">
      <c r="C32" s="50">
        <v>1034.46</v>
      </c>
      <c r="D32" s="43">
        <f t="shared" si="0"/>
        <v>-9.0928466572950759E-3</v>
      </c>
      <c r="E32" s="8"/>
    </row>
    <row r="33" spans="1:7" ht="15.75" customHeight="1" x14ac:dyDescent="0.3">
      <c r="C33" s="50">
        <v>1045.24</v>
      </c>
      <c r="D33" s="43">
        <f t="shared" si="0"/>
        <v>1.2332936603917674E-3</v>
      </c>
      <c r="E33" s="8"/>
    </row>
    <row r="34" spans="1:7" ht="15.75" customHeight="1" x14ac:dyDescent="0.3">
      <c r="C34" s="50">
        <v>1042.46</v>
      </c>
      <c r="D34" s="43">
        <f t="shared" si="0"/>
        <v>-1.4296627480654882E-3</v>
      </c>
      <c r="E34" s="8"/>
    </row>
    <row r="35" spans="1:7" ht="15.75" customHeight="1" x14ac:dyDescent="0.3">
      <c r="C35" s="50">
        <v>1048.6500000000001</v>
      </c>
      <c r="D35" s="43">
        <f t="shared" si="0"/>
        <v>4.4997258017009578E-3</v>
      </c>
      <c r="E35" s="8"/>
    </row>
    <row r="36" spans="1:7" ht="15.75" customHeight="1" x14ac:dyDescent="0.3">
      <c r="C36" s="50">
        <v>1039.54</v>
      </c>
      <c r="D36" s="43">
        <f t="shared" si="0"/>
        <v>-4.226724874934357E-3</v>
      </c>
      <c r="E36" s="8"/>
    </row>
    <row r="37" spans="1:7" ht="15.75" customHeight="1" x14ac:dyDescent="0.3">
      <c r="C37" s="50">
        <v>1040.3900000000001</v>
      </c>
      <c r="D37" s="43">
        <f t="shared" si="0"/>
        <v>-3.412511584578583E-3</v>
      </c>
      <c r="E37" s="8"/>
    </row>
    <row r="38" spans="1:7" ht="15.75" customHeight="1" x14ac:dyDescent="0.3">
      <c r="C38" s="50">
        <v>1038.44</v>
      </c>
      <c r="D38" s="43">
        <f t="shared" si="0"/>
        <v>-5.2804126624533387E-3</v>
      </c>
      <c r="E38" s="8"/>
    </row>
    <row r="39" spans="1:7" ht="15.75" customHeight="1" x14ac:dyDescent="0.3">
      <c r="C39" s="50">
        <v>1049.33</v>
      </c>
      <c r="D39" s="43">
        <f t="shared" si="0"/>
        <v>5.1510964339853155E-3</v>
      </c>
      <c r="E39" s="8"/>
    </row>
    <row r="40" spans="1:7" ht="15.75" customHeight="1" x14ac:dyDescent="0.3">
      <c r="C40" s="50">
        <v>1049.82</v>
      </c>
      <c r="D40" s="43">
        <f t="shared" si="0"/>
        <v>5.6204664484256362E-3</v>
      </c>
      <c r="E40" s="8"/>
    </row>
    <row r="41" spans="1:7" ht="15.75" customHeight="1" x14ac:dyDescent="0.3">
      <c r="C41" s="50">
        <v>1045.83</v>
      </c>
      <c r="D41" s="43">
        <f t="shared" si="0"/>
        <v>1.798453473697371E-3</v>
      </c>
      <c r="E41" s="8"/>
    </row>
    <row r="42" spans="1:7" ht="15.75" customHeight="1" x14ac:dyDescent="0.3">
      <c r="C42" s="50">
        <v>1044.07</v>
      </c>
      <c r="D42" s="43">
        <f t="shared" si="0"/>
        <v>1.1255301366687055E-4</v>
      </c>
      <c r="E42" s="8"/>
    </row>
    <row r="43" spans="1:7" ht="16.5" customHeight="1" x14ac:dyDescent="0.3">
      <c r="C43" s="51">
        <v>1040.1400000000001</v>
      </c>
      <c r="D43" s="44">
        <f t="shared" si="0"/>
        <v>-3.6519860817420076E-3</v>
      </c>
      <c r="E43" s="8"/>
    </row>
    <row r="44" spans="1:7" ht="16.5" customHeight="1" x14ac:dyDescent="0.3">
      <c r="C44" s="9"/>
      <c r="D44" s="8"/>
      <c r="E44" s="10"/>
    </row>
    <row r="45" spans="1:7" ht="16.5" customHeight="1" x14ac:dyDescent="0.3">
      <c r="B45" s="37" t="s">
        <v>42</v>
      </c>
      <c r="C45" s="38">
        <f>SUM(C24:C44)</f>
        <v>20879.049999999996</v>
      </c>
      <c r="D45" s="33"/>
      <c r="E45" s="9"/>
    </row>
    <row r="46" spans="1:7" ht="17.25" customHeight="1" x14ac:dyDescent="0.3">
      <c r="B46" s="37" t="s">
        <v>43</v>
      </c>
      <c r="C46" s="39">
        <f>AVERAGE(C24:C44)</f>
        <v>1043.9524999999999</v>
      </c>
      <c r="E46" s="11"/>
    </row>
    <row r="47" spans="1:7" ht="17.25" customHeight="1" x14ac:dyDescent="0.3">
      <c r="A47" s="15"/>
      <c r="B47" s="34"/>
      <c r="D47" s="13"/>
      <c r="E47" s="11"/>
    </row>
    <row r="48" spans="1:7" ht="33.75" customHeight="1" x14ac:dyDescent="0.3">
      <c r="B48" s="47" t="s">
        <v>43</v>
      </c>
      <c r="C48" s="40" t="s">
        <v>44</v>
      </c>
      <c r="D48" s="35"/>
      <c r="G48" s="13"/>
    </row>
    <row r="49" spans="1:6" ht="17.25" customHeight="1" x14ac:dyDescent="0.3">
      <c r="B49" s="473">
        <f>C46</f>
        <v>1043.9524999999999</v>
      </c>
      <c r="C49" s="48">
        <f>-IF(C46&lt;=80,10%,IF(C46&lt;250,7.5%,5%))</f>
        <v>-0.05</v>
      </c>
      <c r="D49" s="36">
        <f>IF(C46&lt;=80,C46*0.9,IF(C46&lt;250,C46*0.925,C46*0.95))</f>
        <v>991.75487499999986</v>
      </c>
    </row>
    <row r="50" spans="1:6" ht="17.25" customHeight="1" x14ac:dyDescent="0.3">
      <c r="B50" s="474"/>
      <c r="C50" s="49">
        <f>IF(C46&lt;=80, 10%, IF(C46&lt;250, 7.5%, 5%))</f>
        <v>0.05</v>
      </c>
      <c r="D50" s="36">
        <f>IF(C46&lt;=80, C46*1.1, IF(C46&lt;250, C46*1.075, C46*1.05))</f>
        <v>1096.1501249999999</v>
      </c>
    </row>
    <row r="51" spans="1:6" ht="16.5" customHeight="1" x14ac:dyDescent="0.3">
      <c r="A51" s="18"/>
      <c r="B51" s="19"/>
      <c r="C51" s="15"/>
      <c r="D51" s="20"/>
      <c r="E51" s="15"/>
      <c r="F51" s="21"/>
    </row>
    <row r="52" spans="1:6" ht="16.5" customHeight="1" x14ac:dyDescent="0.3">
      <c r="A52" s="15"/>
      <c r="B52" s="22" t="s">
        <v>26</v>
      </c>
      <c r="C52" s="22"/>
      <c r="D52" s="23" t="s">
        <v>27</v>
      </c>
      <c r="E52" s="24"/>
      <c r="F52" s="23" t="s">
        <v>28</v>
      </c>
    </row>
    <row r="53" spans="1:6" ht="34.5" customHeight="1" x14ac:dyDescent="0.3">
      <c r="A53" s="25" t="s">
        <v>29</v>
      </c>
      <c r="B53" s="26"/>
      <c r="C53" s="27"/>
      <c r="D53" s="26"/>
      <c r="E53" s="16"/>
      <c r="F53" s="28"/>
    </row>
    <row r="54" spans="1:6" ht="34.5" customHeight="1" x14ac:dyDescent="0.3">
      <c r="A54" s="25" t="s">
        <v>30</v>
      </c>
      <c r="B54" s="29"/>
      <c r="C54" s="30"/>
      <c r="D54" s="29"/>
      <c r="E54" s="16"/>
      <c r="F54" s="3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5" zoomScale="60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56" customWidth="1"/>
    <col min="2" max="2" width="33.7109375" style="56" customWidth="1"/>
    <col min="3" max="3" width="42.28515625" style="56" customWidth="1"/>
    <col min="4" max="4" width="30.5703125" style="56" customWidth="1"/>
    <col min="5" max="5" width="39.85546875" style="56" customWidth="1"/>
    <col min="6" max="6" width="30.7109375" style="56" customWidth="1"/>
    <col min="7" max="7" width="39.85546875" style="56" customWidth="1"/>
    <col min="8" max="8" width="30" style="56" customWidth="1"/>
    <col min="9" max="9" width="30.28515625" style="56" hidden="1" customWidth="1"/>
    <col min="10" max="10" width="30.42578125" style="56" customWidth="1"/>
    <col min="11" max="11" width="21.28515625" style="56" customWidth="1"/>
    <col min="12" max="12" width="9.140625" style="56"/>
    <col min="13" max="16384" width="9.140625" style="9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thickBot="1" x14ac:dyDescent="0.35">
      <c r="A15" s="143"/>
    </row>
    <row r="16" spans="1:9" ht="19.5" customHeight="1" thickBot="1" x14ac:dyDescent="0.35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144" t="s">
        <v>33</v>
      </c>
      <c r="B18" s="490" t="s">
        <v>131</v>
      </c>
      <c r="C18" s="490"/>
      <c r="D18" s="145"/>
      <c r="E18" s="146"/>
      <c r="F18" s="147"/>
      <c r="G18" s="147"/>
      <c r="H18" s="147"/>
    </row>
    <row r="19" spans="1:14" ht="26.25" customHeight="1" x14ac:dyDescent="0.4">
      <c r="A19" s="144" t="s">
        <v>34</v>
      </c>
      <c r="B19" s="148" t="s">
        <v>7</v>
      </c>
      <c r="C19" s="147">
        <v>1</v>
      </c>
      <c r="D19" s="147"/>
      <c r="E19" s="147"/>
      <c r="F19" s="147"/>
      <c r="G19" s="147"/>
      <c r="H19" s="147"/>
    </row>
    <row r="20" spans="1:14" ht="26.25" customHeight="1" x14ac:dyDescent="0.4">
      <c r="A20" s="144" t="s">
        <v>35</v>
      </c>
      <c r="B20" s="491" t="s">
        <v>134</v>
      </c>
      <c r="C20" s="491"/>
      <c r="D20" s="147"/>
      <c r="E20" s="147"/>
      <c r="F20" s="147"/>
      <c r="G20" s="147"/>
      <c r="H20" s="147"/>
    </row>
    <row r="21" spans="1:14" ht="26.25" customHeight="1" x14ac:dyDescent="0.4">
      <c r="A21" s="144" t="s">
        <v>36</v>
      </c>
      <c r="B21" s="491" t="s">
        <v>135</v>
      </c>
      <c r="C21" s="491"/>
      <c r="D21" s="491"/>
      <c r="E21" s="491"/>
      <c r="F21" s="491"/>
      <c r="G21" s="491"/>
      <c r="H21" s="491"/>
      <c r="I21" s="149"/>
    </row>
    <row r="22" spans="1:14" ht="26.25" customHeight="1" x14ac:dyDescent="0.4">
      <c r="A22" s="144" t="s">
        <v>37</v>
      </c>
      <c r="B22" s="150" t="s">
        <v>136</v>
      </c>
      <c r="C22" s="147"/>
      <c r="D22" s="147"/>
      <c r="E22" s="147"/>
      <c r="F22" s="147"/>
      <c r="G22" s="147"/>
      <c r="H22" s="147"/>
    </row>
    <row r="23" spans="1:14" ht="26.25" customHeight="1" x14ac:dyDescent="0.4">
      <c r="A23" s="144" t="s">
        <v>38</v>
      </c>
      <c r="B23" s="150"/>
      <c r="C23" s="147"/>
      <c r="D23" s="147"/>
      <c r="E23" s="147"/>
      <c r="F23" s="147"/>
      <c r="G23" s="147"/>
      <c r="H23" s="147"/>
    </row>
    <row r="24" spans="1:14" ht="18.75" x14ac:dyDescent="0.3">
      <c r="A24" s="144"/>
      <c r="B24" s="151"/>
    </row>
    <row r="25" spans="1:14" ht="18.75" x14ac:dyDescent="0.3">
      <c r="A25" s="152" t="s">
        <v>1</v>
      </c>
      <c r="B25" s="151"/>
    </row>
    <row r="26" spans="1:14" ht="26.25" customHeight="1" x14ac:dyDescent="0.4">
      <c r="A26" s="153" t="s">
        <v>4</v>
      </c>
      <c r="B26" s="490" t="s">
        <v>137</v>
      </c>
      <c r="C26" s="490"/>
    </row>
    <row r="27" spans="1:14" ht="26.25" customHeight="1" x14ac:dyDescent="0.4">
      <c r="A27" s="154" t="s">
        <v>48</v>
      </c>
      <c r="B27" s="492" t="s">
        <v>142</v>
      </c>
      <c r="C27" s="492"/>
    </row>
    <row r="28" spans="1:14" ht="27" customHeight="1" thickBot="1" x14ac:dyDescent="0.45">
      <c r="A28" s="154" t="s">
        <v>6</v>
      </c>
      <c r="B28" s="155">
        <v>99.8</v>
      </c>
    </row>
    <row r="29" spans="1:14" s="66" customFormat="1" ht="27" customHeight="1" thickBot="1" x14ac:dyDescent="0.45">
      <c r="A29" s="154" t="s">
        <v>49</v>
      </c>
      <c r="B29" s="156">
        <v>0</v>
      </c>
      <c r="C29" s="493" t="s">
        <v>50</v>
      </c>
      <c r="D29" s="494"/>
      <c r="E29" s="494"/>
      <c r="F29" s="494"/>
      <c r="G29" s="495"/>
      <c r="I29" s="157"/>
      <c r="J29" s="157"/>
      <c r="K29" s="157"/>
      <c r="L29" s="157"/>
    </row>
    <row r="30" spans="1:14" s="66" customFormat="1" ht="19.5" customHeight="1" thickBot="1" x14ac:dyDescent="0.35">
      <c r="A30" s="154" t="s">
        <v>51</v>
      </c>
      <c r="B30" s="158">
        <f>B28-B29</f>
        <v>99.8</v>
      </c>
      <c r="C30" s="159"/>
      <c r="D30" s="159"/>
      <c r="E30" s="159"/>
      <c r="F30" s="159"/>
      <c r="G30" s="160"/>
      <c r="I30" s="157"/>
      <c r="J30" s="157"/>
      <c r="K30" s="157"/>
      <c r="L30" s="157"/>
    </row>
    <row r="31" spans="1:14" s="66" customFormat="1" ht="27" customHeight="1" thickBot="1" x14ac:dyDescent="0.45">
      <c r="A31" s="154" t="s">
        <v>52</v>
      </c>
      <c r="B31" s="161">
        <v>1</v>
      </c>
      <c r="C31" s="481" t="s">
        <v>53</v>
      </c>
      <c r="D31" s="482"/>
      <c r="E31" s="482"/>
      <c r="F31" s="482"/>
      <c r="G31" s="482"/>
      <c r="H31" s="483"/>
      <c r="I31" s="157"/>
      <c r="J31" s="157"/>
      <c r="K31" s="157"/>
      <c r="L31" s="157"/>
    </row>
    <row r="32" spans="1:14" s="66" customFormat="1" ht="27" customHeight="1" thickBot="1" x14ac:dyDescent="0.45">
      <c r="A32" s="154" t="s">
        <v>54</v>
      </c>
      <c r="B32" s="161">
        <v>1</v>
      </c>
      <c r="C32" s="481" t="s">
        <v>55</v>
      </c>
      <c r="D32" s="482"/>
      <c r="E32" s="482"/>
      <c r="F32" s="482"/>
      <c r="G32" s="482"/>
      <c r="H32" s="483"/>
      <c r="I32" s="157"/>
      <c r="J32" s="157"/>
      <c r="K32" s="157"/>
      <c r="L32" s="162"/>
      <c r="M32" s="162"/>
      <c r="N32" s="163"/>
    </row>
    <row r="33" spans="1:14" s="66" customFormat="1" ht="17.25" customHeight="1" x14ac:dyDescent="0.3">
      <c r="A33" s="154"/>
      <c r="B33" s="164"/>
      <c r="C33" s="165"/>
      <c r="D33" s="165"/>
      <c r="E33" s="165"/>
      <c r="F33" s="165"/>
      <c r="G33" s="165"/>
      <c r="H33" s="165"/>
      <c r="I33" s="157"/>
      <c r="J33" s="157"/>
      <c r="K33" s="157"/>
      <c r="L33" s="162"/>
      <c r="M33" s="162"/>
      <c r="N33" s="163"/>
    </row>
    <row r="34" spans="1:14" s="66" customFormat="1" ht="18.75" x14ac:dyDescent="0.3">
      <c r="A34" s="154" t="s">
        <v>56</v>
      </c>
      <c r="B34" s="166">
        <f>B31/B32</f>
        <v>1</v>
      </c>
      <c r="C34" s="143" t="s">
        <v>57</v>
      </c>
      <c r="D34" s="143"/>
      <c r="E34" s="143"/>
      <c r="F34" s="143"/>
      <c r="G34" s="143"/>
      <c r="I34" s="157"/>
      <c r="J34" s="157"/>
      <c r="K34" s="157"/>
      <c r="L34" s="162"/>
      <c r="M34" s="162"/>
      <c r="N34" s="163"/>
    </row>
    <row r="35" spans="1:14" s="66" customFormat="1" ht="19.5" customHeight="1" thickBot="1" x14ac:dyDescent="0.35">
      <c r="A35" s="154"/>
      <c r="B35" s="158"/>
      <c r="G35" s="143"/>
      <c r="I35" s="157"/>
      <c r="J35" s="157"/>
      <c r="K35" s="157"/>
      <c r="L35" s="162"/>
      <c r="M35" s="162"/>
      <c r="N35" s="163"/>
    </row>
    <row r="36" spans="1:14" s="66" customFormat="1" ht="27" customHeight="1" thickBot="1" x14ac:dyDescent="0.45">
      <c r="A36" s="167" t="s">
        <v>58</v>
      </c>
      <c r="B36" s="168">
        <v>100</v>
      </c>
      <c r="C36" s="143"/>
      <c r="D36" s="497" t="s">
        <v>59</v>
      </c>
      <c r="E36" s="498"/>
      <c r="F36" s="497" t="s">
        <v>60</v>
      </c>
      <c r="G36" s="499"/>
      <c r="J36" s="157"/>
      <c r="K36" s="157"/>
      <c r="L36" s="162"/>
      <c r="M36" s="162"/>
      <c r="N36" s="163"/>
    </row>
    <row r="37" spans="1:14" s="66" customFormat="1" ht="27" customHeight="1" thickBot="1" x14ac:dyDescent="0.45">
      <c r="A37" s="169" t="s">
        <v>61</v>
      </c>
      <c r="B37" s="170">
        <v>1</v>
      </c>
      <c r="C37" s="171" t="s">
        <v>62</v>
      </c>
      <c r="D37" s="172" t="s">
        <v>63</v>
      </c>
      <c r="E37" s="173" t="s">
        <v>64</v>
      </c>
      <c r="F37" s="172" t="s">
        <v>63</v>
      </c>
      <c r="G37" s="174" t="s">
        <v>64</v>
      </c>
      <c r="I37" s="175" t="s">
        <v>65</v>
      </c>
      <c r="J37" s="157"/>
      <c r="K37" s="157"/>
      <c r="L37" s="162"/>
      <c r="M37" s="162"/>
      <c r="N37" s="163"/>
    </row>
    <row r="38" spans="1:14" s="66" customFormat="1" ht="26.25" customHeight="1" x14ac:dyDescent="0.4">
      <c r="A38" s="169" t="s">
        <v>66</v>
      </c>
      <c r="B38" s="170">
        <v>1</v>
      </c>
      <c r="C38" s="176">
        <v>1</v>
      </c>
      <c r="D38" s="177">
        <v>67227040</v>
      </c>
      <c r="E38" s="178">
        <f>IF(ISBLANK(D38),"-",$D$48/$D$45*D38)</f>
        <v>65439478.836239576</v>
      </c>
      <c r="F38" s="177">
        <v>66542715</v>
      </c>
      <c r="G38" s="179">
        <f>IF(ISBLANK(F38),"-",$D$48/$F$45*F38)</f>
        <v>64852101.77193293</v>
      </c>
      <c r="I38" s="180"/>
      <c r="J38" s="157"/>
      <c r="K38" s="157"/>
      <c r="L38" s="162"/>
      <c r="M38" s="162"/>
      <c r="N38" s="163"/>
    </row>
    <row r="39" spans="1:14" s="66" customFormat="1" ht="26.25" customHeight="1" x14ac:dyDescent="0.4">
      <c r="A39" s="169" t="s">
        <v>67</v>
      </c>
      <c r="B39" s="170">
        <v>1</v>
      </c>
      <c r="C39" s="181">
        <v>2</v>
      </c>
      <c r="D39" s="182">
        <v>67232180</v>
      </c>
      <c r="E39" s="183">
        <f>IF(ISBLANK(D39),"-",$D$48/$D$45*D39)</f>
        <v>65444482.164085306</v>
      </c>
      <c r="F39" s="182">
        <v>66640106</v>
      </c>
      <c r="G39" s="184">
        <f>IF(ISBLANK(F39),"-",$D$48/$F$45*F39)</f>
        <v>64947018.413727157</v>
      </c>
      <c r="I39" s="500">
        <f>ABS((F43/D43*D42)-F42)/D42</f>
        <v>7.2853960004307826E-3</v>
      </c>
      <c r="J39" s="157"/>
      <c r="K39" s="157"/>
      <c r="L39" s="162"/>
      <c r="M39" s="162"/>
      <c r="N39" s="163"/>
    </row>
    <row r="40" spans="1:14" ht="26.25" customHeight="1" x14ac:dyDescent="0.4">
      <c r="A40" s="169" t="s">
        <v>68</v>
      </c>
      <c r="B40" s="170">
        <v>1</v>
      </c>
      <c r="C40" s="181">
        <v>3</v>
      </c>
      <c r="D40" s="182">
        <v>67476723</v>
      </c>
      <c r="E40" s="183">
        <f>IF(ISBLANK(D40),"-",$D$48/$D$45*D40)</f>
        <v>65682522.786921754</v>
      </c>
      <c r="F40" s="182">
        <v>67036722</v>
      </c>
      <c r="G40" s="184">
        <f>IF(ISBLANK(F40),"-",$D$48/$F$45*F40)</f>
        <v>65333557.814717591</v>
      </c>
      <c r="I40" s="500"/>
      <c r="L40" s="162"/>
      <c r="M40" s="162"/>
      <c r="N40" s="143"/>
    </row>
    <row r="41" spans="1:14" ht="27" customHeight="1" thickBot="1" x14ac:dyDescent="0.45">
      <c r="A41" s="169" t="s">
        <v>69</v>
      </c>
      <c r="B41" s="170">
        <v>1</v>
      </c>
      <c r="C41" s="185">
        <v>4</v>
      </c>
      <c r="D41" s="186"/>
      <c r="E41" s="187" t="str">
        <f>IF(ISBLANK(D41),"-",$D$48/$D$45*D41)</f>
        <v>-</v>
      </c>
      <c r="F41" s="186"/>
      <c r="G41" s="188" t="str">
        <f>IF(ISBLANK(F41),"-",$D$48/$F$45*F41)</f>
        <v>-</v>
      </c>
      <c r="I41" s="189"/>
      <c r="L41" s="162"/>
      <c r="M41" s="162"/>
      <c r="N41" s="143"/>
    </row>
    <row r="42" spans="1:14" ht="27" customHeight="1" thickBot="1" x14ac:dyDescent="0.45">
      <c r="A42" s="169" t="s">
        <v>70</v>
      </c>
      <c r="B42" s="170">
        <v>1</v>
      </c>
      <c r="C42" s="190" t="s">
        <v>71</v>
      </c>
      <c r="D42" s="191">
        <f>AVERAGE(D38:D41)</f>
        <v>67311981</v>
      </c>
      <c r="E42" s="192">
        <f>AVERAGE(E38:E41)</f>
        <v>65522161.262415551</v>
      </c>
      <c r="F42" s="191">
        <f>AVERAGE(F38:F41)</f>
        <v>66739847.666666664</v>
      </c>
      <c r="G42" s="193">
        <f>AVERAGE(G38:G41)</f>
        <v>65044226.000125892</v>
      </c>
      <c r="H42" s="90"/>
    </row>
    <row r="43" spans="1:14" ht="26.25" customHeight="1" x14ac:dyDescent="0.4">
      <c r="A43" s="169" t="s">
        <v>72</v>
      </c>
      <c r="B43" s="170">
        <v>1</v>
      </c>
      <c r="C43" s="194" t="s">
        <v>73</v>
      </c>
      <c r="D43" s="195">
        <v>16.47</v>
      </c>
      <c r="E43" s="143"/>
      <c r="F43" s="195">
        <v>16.45</v>
      </c>
      <c r="H43" s="90"/>
    </row>
    <row r="44" spans="1:14" ht="26.25" customHeight="1" x14ac:dyDescent="0.4">
      <c r="A44" s="169" t="s">
        <v>74</v>
      </c>
      <c r="B44" s="170">
        <v>1</v>
      </c>
      <c r="C44" s="196" t="s">
        <v>75</v>
      </c>
      <c r="D44" s="197">
        <f>D43*$B$34</f>
        <v>16.47</v>
      </c>
      <c r="E44" s="198"/>
      <c r="F44" s="197">
        <f>F43*$B$34</f>
        <v>16.45</v>
      </c>
      <c r="H44" s="90"/>
    </row>
    <row r="45" spans="1:14" ht="19.5" customHeight="1" thickBot="1" x14ac:dyDescent="0.35">
      <c r="A45" s="169" t="s">
        <v>76</v>
      </c>
      <c r="B45" s="181">
        <f>(B44/B43)*(B42/B41)*(B40/B39)*(B38/B37)*B36</f>
        <v>100</v>
      </c>
      <c r="C45" s="196" t="s">
        <v>77</v>
      </c>
      <c r="D45" s="199">
        <f>D44*$B$30/100</f>
        <v>16.437059999999999</v>
      </c>
      <c r="E45" s="200"/>
      <c r="F45" s="199">
        <f>F44*$B$30/100</f>
        <v>16.417099999999998</v>
      </c>
      <c r="H45" s="90"/>
    </row>
    <row r="46" spans="1:14" ht="19.5" customHeight="1" thickBot="1" x14ac:dyDescent="0.35">
      <c r="A46" s="501" t="s">
        <v>78</v>
      </c>
      <c r="B46" s="502"/>
      <c r="C46" s="196" t="s">
        <v>79</v>
      </c>
      <c r="D46" s="201">
        <f>D45/$B$45</f>
        <v>0.16437059999999998</v>
      </c>
      <c r="E46" s="202"/>
      <c r="F46" s="203">
        <f>F45/$B$45</f>
        <v>0.16417099999999998</v>
      </c>
      <c r="H46" s="90"/>
    </row>
    <row r="47" spans="1:14" ht="27" customHeight="1" thickBot="1" x14ac:dyDescent="0.45">
      <c r="A47" s="503"/>
      <c r="B47" s="504"/>
      <c r="C47" s="204" t="s">
        <v>80</v>
      </c>
      <c r="D47" s="205">
        <v>0.16</v>
      </c>
      <c r="E47" s="206"/>
      <c r="F47" s="202"/>
      <c r="H47" s="90"/>
    </row>
    <row r="48" spans="1:14" ht="18.75" x14ac:dyDescent="0.3">
      <c r="C48" s="207" t="s">
        <v>81</v>
      </c>
      <c r="D48" s="199">
        <f>D47*$B$45</f>
        <v>16</v>
      </c>
      <c r="F48" s="208"/>
      <c r="H48" s="90"/>
    </row>
    <row r="49" spans="1:12" ht="19.5" customHeight="1" thickBot="1" x14ac:dyDescent="0.35">
      <c r="C49" s="209" t="s">
        <v>82</v>
      </c>
      <c r="D49" s="210">
        <f>D48/B34</f>
        <v>16</v>
      </c>
      <c r="F49" s="208"/>
      <c r="H49" s="90"/>
    </row>
    <row r="50" spans="1:12" ht="18.75" x14ac:dyDescent="0.3">
      <c r="C50" s="167" t="s">
        <v>83</v>
      </c>
      <c r="D50" s="211">
        <f>AVERAGE(E38:E41,G38:G41)</f>
        <v>65283193.631270714</v>
      </c>
      <c r="F50" s="212"/>
      <c r="H50" s="90"/>
    </row>
    <row r="51" spans="1:12" ht="18.75" x14ac:dyDescent="0.3">
      <c r="C51" s="169" t="s">
        <v>84</v>
      </c>
      <c r="D51" s="213">
        <f>STDEV(E38:E41,G38:G41)/D50</f>
        <v>4.8983371944683546E-3</v>
      </c>
      <c r="F51" s="212"/>
      <c r="H51" s="90"/>
    </row>
    <row r="52" spans="1:12" ht="19.5" customHeight="1" thickBot="1" x14ac:dyDescent="0.35">
      <c r="C52" s="214" t="s">
        <v>20</v>
      </c>
      <c r="D52" s="215">
        <f>COUNT(E38:E41,G38:G41)</f>
        <v>6</v>
      </c>
      <c r="F52" s="212"/>
    </row>
    <row r="54" spans="1:12" ht="18.75" x14ac:dyDescent="0.3">
      <c r="A54" s="216" t="s">
        <v>1</v>
      </c>
      <c r="B54" s="217" t="s">
        <v>85</v>
      </c>
    </row>
    <row r="55" spans="1:12" ht="18.75" x14ac:dyDescent="0.3">
      <c r="A55" s="143" t="s">
        <v>86</v>
      </c>
      <c r="B55" s="218" t="str">
        <f>B21</f>
        <v xml:space="preserve">Each tablet contains: Sulphamethoxazole B.P. 800 mg and Trimethoprim B.P. 160 mg.
</v>
      </c>
    </row>
    <row r="56" spans="1:12" ht="26.25" customHeight="1" x14ac:dyDescent="0.4">
      <c r="A56" s="218" t="s">
        <v>87</v>
      </c>
      <c r="B56" s="219">
        <v>800</v>
      </c>
      <c r="C56" s="143" t="str">
        <f>B20</f>
        <v xml:space="preserve">Sulfamethoxazole BP </v>
      </c>
      <c r="H56" s="198"/>
    </row>
    <row r="57" spans="1:12" ht="18.75" x14ac:dyDescent="0.3">
      <c r="A57" s="218" t="s">
        <v>88</v>
      </c>
      <c r="B57" s="220">
        <f>Uniformity!C46</f>
        <v>1043.9524999999999</v>
      </c>
      <c r="H57" s="198"/>
    </row>
    <row r="58" spans="1:12" ht="19.5" customHeight="1" thickBot="1" x14ac:dyDescent="0.35">
      <c r="H58" s="198"/>
    </row>
    <row r="59" spans="1:12" s="66" customFormat="1" ht="27" customHeight="1" thickBot="1" x14ac:dyDescent="0.45">
      <c r="A59" s="167" t="s">
        <v>89</v>
      </c>
      <c r="B59" s="168">
        <v>100</v>
      </c>
      <c r="C59" s="143"/>
      <c r="D59" s="221" t="s">
        <v>90</v>
      </c>
      <c r="E59" s="222" t="s">
        <v>62</v>
      </c>
      <c r="F59" s="222" t="s">
        <v>63</v>
      </c>
      <c r="G59" s="222" t="s">
        <v>91</v>
      </c>
      <c r="H59" s="171" t="s">
        <v>92</v>
      </c>
      <c r="L59" s="157"/>
    </row>
    <row r="60" spans="1:12" s="66" customFormat="1" ht="26.25" customHeight="1" x14ac:dyDescent="0.4">
      <c r="A60" s="169" t="s">
        <v>93</v>
      </c>
      <c r="B60" s="170">
        <v>2</v>
      </c>
      <c r="C60" s="505" t="s">
        <v>94</v>
      </c>
      <c r="D60" s="508">
        <v>204.94</v>
      </c>
      <c r="E60" s="223">
        <v>1</v>
      </c>
      <c r="F60" s="224">
        <v>63529029</v>
      </c>
      <c r="G60" s="225">
        <f>IF(ISBLANK(F60),"-",(F60/$D$50*$D$47*$B$68)*($B$57/$D$60))</f>
        <v>793.13079955255148</v>
      </c>
      <c r="H60" s="226">
        <f t="shared" ref="H60:H71" si="0">IF(ISBLANK(F60),"-",(G60/$B$56)*100)</f>
        <v>99.141349944068935</v>
      </c>
      <c r="L60" s="157"/>
    </row>
    <row r="61" spans="1:12" s="66" customFormat="1" ht="26.25" customHeight="1" x14ac:dyDescent="0.4">
      <c r="A61" s="169" t="s">
        <v>95</v>
      </c>
      <c r="B61" s="170">
        <v>20</v>
      </c>
      <c r="C61" s="506"/>
      <c r="D61" s="509"/>
      <c r="E61" s="227">
        <v>2</v>
      </c>
      <c r="F61" s="182">
        <v>63989383</v>
      </c>
      <c r="G61" s="228">
        <f>IF(ISBLANK(F61),"-",(F61/$D$50*$D$47*$B$68)*($B$57/$D$60))</f>
        <v>798.87810817420871</v>
      </c>
      <c r="H61" s="229">
        <f t="shared" si="0"/>
        <v>99.859763521776088</v>
      </c>
      <c r="L61" s="157"/>
    </row>
    <row r="62" spans="1:12" s="66" customFormat="1" ht="26.25" customHeight="1" x14ac:dyDescent="0.4">
      <c r="A62" s="169" t="s">
        <v>96</v>
      </c>
      <c r="B62" s="170">
        <v>1</v>
      </c>
      <c r="C62" s="506"/>
      <c r="D62" s="509"/>
      <c r="E62" s="227">
        <v>3</v>
      </c>
      <c r="F62" s="230">
        <v>64983699</v>
      </c>
      <c r="G62" s="228">
        <f>IF(ISBLANK(F62),"-",(F62/$D$50*$D$47*$B$68)*($B$57/$D$60))</f>
        <v>811.29168754888951</v>
      </c>
      <c r="H62" s="229">
        <f t="shared" si="0"/>
        <v>101.4114609436112</v>
      </c>
      <c r="L62" s="157"/>
    </row>
    <row r="63" spans="1:12" ht="27" customHeight="1" thickBot="1" x14ac:dyDescent="0.45">
      <c r="A63" s="169" t="s">
        <v>97</v>
      </c>
      <c r="B63" s="170">
        <v>1</v>
      </c>
      <c r="C63" s="507"/>
      <c r="D63" s="510"/>
      <c r="E63" s="231">
        <v>4</v>
      </c>
      <c r="F63" s="232"/>
      <c r="G63" s="228" t="str">
        <f>IF(ISBLANK(F63),"-",(F63/$D$50*$D$47*$B$68)*($B$57/$D$60))</f>
        <v>-</v>
      </c>
      <c r="H63" s="229" t="str">
        <f t="shared" si="0"/>
        <v>-</v>
      </c>
    </row>
    <row r="64" spans="1:12" ht="26.25" customHeight="1" x14ac:dyDescent="0.4">
      <c r="A64" s="169" t="s">
        <v>98</v>
      </c>
      <c r="B64" s="170">
        <v>1</v>
      </c>
      <c r="C64" s="505" t="s">
        <v>99</v>
      </c>
      <c r="D64" s="508">
        <v>208.64</v>
      </c>
      <c r="E64" s="223">
        <v>1</v>
      </c>
      <c r="F64" s="224">
        <v>63956803</v>
      </c>
      <c r="G64" s="225">
        <f>IF(ISBLANK(F64),"-",(F64/$D$50*$D$47*$B$68)*($B$57/$D$64))</f>
        <v>784.31135395764102</v>
      </c>
      <c r="H64" s="226">
        <f t="shared" si="0"/>
        <v>98.038919244705127</v>
      </c>
    </row>
    <row r="65" spans="1:8" ht="26.25" customHeight="1" x14ac:dyDescent="0.4">
      <c r="A65" s="169" t="s">
        <v>100</v>
      </c>
      <c r="B65" s="170">
        <v>1</v>
      </c>
      <c r="C65" s="506"/>
      <c r="D65" s="509"/>
      <c r="E65" s="227">
        <v>2</v>
      </c>
      <c r="F65" s="182">
        <v>64265318</v>
      </c>
      <c r="G65" s="228">
        <f>IF(ISBLANK(F65),"-",(F65/$D$50*$D$47*$B$68)*($B$57/$D$64))</f>
        <v>788.09471719682983</v>
      </c>
      <c r="H65" s="229">
        <f t="shared" si="0"/>
        <v>98.511839649603729</v>
      </c>
    </row>
    <row r="66" spans="1:8" ht="26.25" customHeight="1" x14ac:dyDescent="0.4">
      <c r="A66" s="169" t="s">
        <v>101</v>
      </c>
      <c r="B66" s="170">
        <v>1</v>
      </c>
      <c r="C66" s="506"/>
      <c r="D66" s="509"/>
      <c r="E66" s="227">
        <v>3</v>
      </c>
      <c r="F66" s="182">
        <v>64369353</v>
      </c>
      <c r="G66" s="228">
        <f>IF(ISBLANK(F66),"-",(F66/$D$50*$D$47*$B$68)*($B$57/$D$64))</f>
        <v>789.37051316976147</v>
      </c>
      <c r="H66" s="229">
        <f t="shared" si="0"/>
        <v>98.671314146220183</v>
      </c>
    </row>
    <row r="67" spans="1:8" ht="27" customHeight="1" thickBot="1" x14ac:dyDescent="0.45">
      <c r="A67" s="169" t="s">
        <v>102</v>
      </c>
      <c r="B67" s="170">
        <v>1</v>
      </c>
      <c r="C67" s="507"/>
      <c r="D67" s="510"/>
      <c r="E67" s="231">
        <v>4</v>
      </c>
      <c r="F67" s="232"/>
      <c r="G67" s="233" t="str">
        <f>IF(ISBLANK(F67),"-",(F67/$D$50*$D$47*$B$68)*($B$57/$D$64))</f>
        <v>-</v>
      </c>
      <c r="H67" s="234" t="str">
        <f t="shared" si="0"/>
        <v>-</v>
      </c>
    </row>
    <row r="68" spans="1:8" ht="26.25" customHeight="1" x14ac:dyDescent="0.4">
      <c r="A68" s="169" t="s">
        <v>103</v>
      </c>
      <c r="B68" s="235">
        <f>(B67/B66)*(B65/B64)*(B63/B62)*(B61/B60)*B59</f>
        <v>1000</v>
      </c>
      <c r="C68" s="505" t="s">
        <v>104</v>
      </c>
      <c r="D68" s="508">
        <v>211.96</v>
      </c>
      <c r="E68" s="223">
        <v>1</v>
      </c>
      <c r="F68" s="224">
        <v>65146606</v>
      </c>
      <c r="G68" s="225">
        <f>IF(ISBLANK(F68),"-",(F68/$D$50*$D$47*$B$68)*($B$57/$D$68))</f>
        <v>786.38860801020826</v>
      </c>
      <c r="H68" s="229">
        <f t="shared" si="0"/>
        <v>98.298576001276032</v>
      </c>
    </row>
    <row r="69" spans="1:8" ht="27" customHeight="1" thickBot="1" x14ac:dyDescent="0.45">
      <c r="A69" s="214" t="s">
        <v>105</v>
      </c>
      <c r="B69" s="236">
        <f>(D47*B68)/B56*B57</f>
        <v>208.79049999999998</v>
      </c>
      <c r="C69" s="506"/>
      <c r="D69" s="509"/>
      <c r="E69" s="227">
        <v>2</v>
      </c>
      <c r="F69" s="182">
        <v>65693945</v>
      </c>
      <c r="G69" s="228">
        <f>IF(ISBLANK(F69),"-",(F69/$D$50*$D$47*$B$68)*($B$57/$D$68))</f>
        <v>792.99557007235614</v>
      </c>
      <c r="H69" s="229">
        <f t="shared" si="0"/>
        <v>99.124446259044518</v>
      </c>
    </row>
    <row r="70" spans="1:8" ht="26.25" customHeight="1" x14ac:dyDescent="0.4">
      <c r="A70" s="512" t="s">
        <v>78</v>
      </c>
      <c r="B70" s="513"/>
      <c r="C70" s="506"/>
      <c r="D70" s="509"/>
      <c r="E70" s="227">
        <v>3</v>
      </c>
      <c r="F70" s="182">
        <v>65615423</v>
      </c>
      <c r="G70" s="228">
        <f>IF(ISBLANK(F70),"-",(F70/$D$50*$D$47*$B$68)*($B$57/$D$68))</f>
        <v>792.04772627711418</v>
      </c>
      <c r="H70" s="229">
        <f t="shared" si="0"/>
        <v>99.005965784639272</v>
      </c>
    </row>
    <row r="71" spans="1:8" ht="27" customHeight="1" thickBot="1" x14ac:dyDescent="0.45">
      <c r="A71" s="514"/>
      <c r="B71" s="515"/>
      <c r="C71" s="511"/>
      <c r="D71" s="510"/>
      <c r="E71" s="231">
        <v>4</v>
      </c>
      <c r="F71" s="232"/>
      <c r="G71" s="233" t="str">
        <f>IF(ISBLANK(F71),"-",(F71/$D$50*$D$47*$B$68)*($B$57/$D$68))</f>
        <v>-</v>
      </c>
      <c r="H71" s="234" t="str">
        <f t="shared" si="0"/>
        <v>-</v>
      </c>
    </row>
    <row r="72" spans="1:8" ht="26.25" customHeight="1" x14ac:dyDescent="0.4">
      <c r="A72" s="198"/>
      <c r="B72" s="198"/>
      <c r="C72" s="198"/>
      <c r="D72" s="198"/>
      <c r="E72" s="198"/>
      <c r="F72" s="237" t="s">
        <v>71</v>
      </c>
      <c r="G72" s="238">
        <f>AVERAGE(G60:G71)</f>
        <v>792.94545377328461</v>
      </c>
      <c r="H72" s="239">
        <f>AVERAGE(H60:H71)</f>
        <v>99.118181721660576</v>
      </c>
    </row>
    <row r="73" spans="1:8" ht="26.25" customHeight="1" x14ac:dyDescent="0.4">
      <c r="C73" s="198"/>
      <c r="D73" s="198"/>
      <c r="E73" s="198"/>
      <c r="F73" s="240" t="s">
        <v>84</v>
      </c>
      <c r="G73" s="241">
        <f>STDEV(G60:G71)/G72</f>
        <v>1.0230570030882121E-2</v>
      </c>
      <c r="H73" s="241">
        <f>STDEV(H60:H71)/H72</f>
        <v>1.0230570030882161E-2</v>
      </c>
    </row>
    <row r="74" spans="1:8" ht="27" customHeight="1" thickBot="1" x14ac:dyDescent="0.45">
      <c r="A74" s="198"/>
      <c r="B74" s="198"/>
      <c r="C74" s="198"/>
      <c r="D74" s="198"/>
      <c r="E74" s="200"/>
      <c r="F74" s="242" t="s">
        <v>20</v>
      </c>
      <c r="G74" s="243">
        <f>COUNT(G60:G71)</f>
        <v>9</v>
      </c>
      <c r="H74" s="243">
        <f>COUNT(H60:H71)</f>
        <v>9</v>
      </c>
    </row>
    <row r="76" spans="1:8" ht="26.25" customHeight="1" x14ac:dyDescent="0.4">
      <c r="A76" s="153" t="s">
        <v>106</v>
      </c>
      <c r="B76" s="154" t="s">
        <v>107</v>
      </c>
      <c r="C76" s="496" t="str">
        <f>B26</f>
        <v>Sulfamethoxazole</v>
      </c>
      <c r="D76" s="496"/>
      <c r="E76" s="143" t="s">
        <v>108</v>
      </c>
      <c r="F76" s="143"/>
      <c r="G76" s="244">
        <f>H72</f>
        <v>99.118181721660576</v>
      </c>
      <c r="H76" s="158"/>
    </row>
    <row r="77" spans="1:8" ht="18.75" x14ac:dyDescent="0.3">
      <c r="A77" s="152" t="s">
        <v>109</v>
      </c>
      <c r="B77" s="152" t="s">
        <v>110</v>
      </c>
    </row>
    <row r="78" spans="1:8" ht="18.75" x14ac:dyDescent="0.3">
      <c r="A78" s="152"/>
      <c r="B78" s="152"/>
    </row>
    <row r="79" spans="1:8" ht="26.25" customHeight="1" x14ac:dyDescent="0.4">
      <c r="A79" s="153" t="s">
        <v>4</v>
      </c>
      <c r="B79" s="517" t="str">
        <f>B26</f>
        <v>Sulfamethoxazole</v>
      </c>
      <c r="C79" s="517"/>
    </row>
    <row r="80" spans="1:8" ht="26.25" customHeight="1" x14ac:dyDescent="0.4">
      <c r="A80" s="154" t="s">
        <v>48</v>
      </c>
      <c r="B80" s="517" t="s">
        <v>138</v>
      </c>
      <c r="C80" s="517"/>
    </row>
    <row r="81" spans="1:12" ht="27" customHeight="1" thickBot="1" x14ac:dyDescent="0.45">
      <c r="A81" s="154" t="s">
        <v>6</v>
      </c>
      <c r="B81" s="155">
        <v>99.02</v>
      </c>
    </row>
    <row r="82" spans="1:12" s="66" customFormat="1" ht="27" customHeight="1" thickBot="1" x14ac:dyDescent="0.45">
      <c r="A82" s="154" t="s">
        <v>49</v>
      </c>
      <c r="B82" s="156">
        <v>0</v>
      </c>
      <c r="C82" s="493" t="s">
        <v>50</v>
      </c>
      <c r="D82" s="494"/>
      <c r="E82" s="494"/>
      <c r="F82" s="494"/>
      <c r="G82" s="495"/>
      <c r="I82" s="157"/>
      <c r="J82" s="157"/>
      <c r="K82" s="157"/>
      <c r="L82" s="157"/>
    </row>
    <row r="83" spans="1:12" s="66" customFormat="1" ht="19.5" customHeight="1" thickBot="1" x14ac:dyDescent="0.35">
      <c r="A83" s="154" t="s">
        <v>51</v>
      </c>
      <c r="B83" s="158">
        <f>B81-B82</f>
        <v>99.02</v>
      </c>
      <c r="C83" s="159"/>
      <c r="D83" s="159"/>
      <c r="E83" s="159"/>
      <c r="F83" s="159"/>
      <c r="G83" s="160"/>
      <c r="I83" s="157"/>
      <c r="J83" s="157"/>
      <c r="K83" s="157"/>
      <c r="L83" s="157"/>
    </row>
    <row r="84" spans="1:12" s="66" customFormat="1" ht="27" customHeight="1" thickBot="1" x14ac:dyDescent="0.45">
      <c r="A84" s="154" t="s">
        <v>52</v>
      </c>
      <c r="B84" s="161">
        <v>1</v>
      </c>
      <c r="C84" s="481" t="s">
        <v>111</v>
      </c>
      <c r="D84" s="482"/>
      <c r="E84" s="482"/>
      <c r="F84" s="482"/>
      <c r="G84" s="482"/>
      <c r="H84" s="483"/>
      <c r="I84" s="157"/>
      <c r="J84" s="157"/>
      <c r="K84" s="157"/>
      <c r="L84" s="157"/>
    </row>
    <row r="85" spans="1:12" s="66" customFormat="1" ht="27" customHeight="1" thickBot="1" x14ac:dyDescent="0.45">
      <c r="A85" s="154" t="s">
        <v>54</v>
      </c>
      <c r="B85" s="161">
        <v>1</v>
      </c>
      <c r="C85" s="481" t="s">
        <v>112</v>
      </c>
      <c r="D85" s="482"/>
      <c r="E85" s="482"/>
      <c r="F85" s="482"/>
      <c r="G85" s="482"/>
      <c r="H85" s="483"/>
      <c r="I85" s="157"/>
      <c r="J85" s="157"/>
      <c r="K85" s="157"/>
      <c r="L85" s="157"/>
    </row>
    <row r="86" spans="1:12" s="66" customFormat="1" ht="18.75" x14ac:dyDescent="0.3">
      <c r="A86" s="154"/>
      <c r="B86" s="164"/>
      <c r="C86" s="165"/>
      <c r="D86" s="165"/>
      <c r="E86" s="165"/>
      <c r="F86" s="165"/>
      <c r="G86" s="165"/>
      <c r="H86" s="165"/>
      <c r="I86" s="157"/>
      <c r="J86" s="157"/>
      <c r="K86" s="157"/>
      <c r="L86" s="157"/>
    </row>
    <row r="87" spans="1:12" s="66" customFormat="1" ht="18.75" x14ac:dyDescent="0.3">
      <c r="A87" s="154" t="s">
        <v>56</v>
      </c>
      <c r="B87" s="166">
        <f>B84/B85</f>
        <v>1</v>
      </c>
      <c r="C87" s="143" t="s">
        <v>57</v>
      </c>
      <c r="D87" s="143"/>
      <c r="E87" s="143"/>
      <c r="F87" s="143"/>
      <c r="G87" s="143"/>
      <c r="I87" s="157"/>
      <c r="J87" s="157"/>
      <c r="K87" s="157"/>
      <c r="L87" s="157"/>
    </row>
    <row r="88" spans="1:12" ht="19.5" customHeight="1" thickBot="1" x14ac:dyDescent="0.35">
      <c r="A88" s="152"/>
      <c r="B88" s="152"/>
    </row>
    <row r="89" spans="1:12" ht="27" customHeight="1" thickBot="1" x14ac:dyDescent="0.45">
      <c r="A89" s="167" t="s">
        <v>58</v>
      </c>
      <c r="B89" s="168">
        <v>100</v>
      </c>
      <c r="D89" s="245" t="s">
        <v>59</v>
      </c>
      <c r="E89" s="246"/>
      <c r="F89" s="497" t="s">
        <v>60</v>
      </c>
      <c r="G89" s="499"/>
    </row>
    <row r="90" spans="1:12" ht="27" customHeight="1" thickBot="1" x14ac:dyDescent="0.45">
      <c r="A90" s="169" t="s">
        <v>61</v>
      </c>
      <c r="B90" s="170">
        <v>1</v>
      </c>
      <c r="C90" s="247" t="s">
        <v>62</v>
      </c>
      <c r="D90" s="172" t="s">
        <v>63</v>
      </c>
      <c r="E90" s="173" t="s">
        <v>64</v>
      </c>
      <c r="F90" s="172" t="s">
        <v>63</v>
      </c>
      <c r="G90" s="248" t="s">
        <v>64</v>
      </c>
      <c r="I90" s="175" t="s">
        <v>65</v>
      </c>
    </row>
    <row r="91" spans="1:12" ht="26.25" customHeight="1" x14ac:dyDescent="0.4">
      <c r="A91" s="169" t="s">
        <v>66</v>
      </c>
      <c r="B91" s="170">
        <v>1</v>
      </c>
      <c r="C91" s="249">
        <v>1</v>
      </c>
      <c r="D91" s="53">
        <v>57545122</v>
      </c>
      <c r="E91" s="178">
        <f>IF(ISBLANK(D91),"-",$D$101/$D$98*D91)</f>
        <v>67393950.019460857</v>
      </c>
      <c r="F91" s="53">
        <v>64189980</v>
      </c>
      <c r="G91" s="179">
        <f>IF(ISBLANK(F91),"-",$D$101/$F$98*F91)</f>
        <v>67002860.591940567</v>
      </c>
      <c r="I91" s="180"/>
    </row>
    <row r="92" spans="1:12" ht="26.25" customHeight="1" x14ac:dyDescent="0.4">
      <c r="A92" s="169" t="s">
        <v>67</v>
      </c>
      <c r="B92" s="170">
        <v>1</v>
      </c>
      <c r="C92" s="198">
        <v>2</v>
      </c>
      <c r="D92" s="54">
        <v>57520834</v>
      </c>
      <c r="E92" s="183">
        <f>IF(ISBLANK(D92),"-",$D$101/$D$98*D92)</f>
        <v>67365505.136537969</v>
      </c>
      <c r="F92" s="54">
        <v>64011049</v>
      </c>
      <c r="G92" s="184">
        <f>IF(ISBLANK(F92),"-",$D$101/$F$98*F92)</f>
        <v>66816088.624593377</v>
      </c>
      <c r="I92" s="500">
        <f>ABS((F96/D96*D95)-F95)/D95</f>
        <v>6.7630184738427914E-3</v>
      </c>
    </row>
    <row r="93" spans="1:12" ht="26.25" customHeight="1" x14ac:dyDescent="0.4">
      <c r="A93" s="169" t="s">
        <v>68</v>
      </c>
      <c r="B93" s="170">
        <v>1</v>
      </c>
      <c r="C93" s="198">
        <v>3</v>
      </c>
      <c r="D93" s="54">
        <v>57400537</v>
      </c>
      <c r="E93" s="183">
        <f>IF(ISBLANK(D93),"-",$D$101/$D$98*D93)</f>
        <v>67224619.345984071</v>
      </c>
      <c r="F93" s="54">
        <v>64137057</v>
      </c>
      <c r="G93" s="184">
        <f>IF(ISBLANK(F93),"-",$D$101/$F$98*F93)</f>
        <v>66947618.443693951</v>
      </c>
      <c r="I93" s="500"/>
    </row>
    <row r="94" spans="1:12" ht="27" customHeight="1" thickBot="1" x14ac:dyDescent="0.45">
      <c r="A94" s="169" t="s">
        <v>69</v>
      </c>
      <c r="B94" s="170">
        <v>1</v>
      </c>
      <c r="C94" s="250">
        <v>4</v>
      </c>
      <c r="D94" s="186"/>
      <c r="E94" s="187" t="str">
        <f>IF(ISBLANK(D94),"-",$D$101/$D$98*D94)</f>
        <v>-</v>
      </c>
      <c r="F94" s="251"/>
      <c r="G94" s="188" t="str">
        <f>IF(ISBLANK(F94),"-",$D$101/$F$98*F94)</f>
        <v>-</v>
      </c>
      <c r="I94" s="189"/>
    </row>
    <row r="95" spans="1:12" ht="27" customHeight="1" thickBot="1" x14ac:dyDescent="0.45">
      <c r="A95" s="169" t="s">
        <v>70</v>
      </c>
      <c r="B95" s="170">
        <v>1</v>
      </c>
      <c r="C95" s="154" t="s">
        <v>71</v>
      </c>
      <c r="D95" s="252">
        <f>AVERAGE(D91:D94)</f>
        <v>57488831</v>
      </c>
      <c r="E95" s="192">
        <f>AVERAGE(E91:E94)</f>
        <v>67328024.833994299</v>
      </c>
      <c r="F95" s="253">
        <f>AVERAGE(F91:F94)</f>
        <v>64112695.333333336</v>
      </c>
      <c r="G95" s="254">
        <f>AVERAGE(G91:G94)</f>
        <v>66922189.220075965</v>
      </c>
    </row>
    <row r="96" spans="1:12" ht="26.25" customHeight="1" x14ac:dyDescent="0.4">
      <c r="A96" s="169" t="s">
        <v>72</v>
      </c>
      <c r="B96" s="155">
        <v>1</v>
      </c>
      <c r="C96" s="255" t="s">
        <v>113</v>
      </c>
      <c r="D96" s="256">
        <v>15.33</v>
      </c>
      <c r="E96" s="143"/>
      <c r="F96" s="195">
        <v>17.2</v>
      </c>
    </row>
    <row r="97" spans="1:10" ht="26.25" customHeight="1" x14ac:dyDescent="0.4">
      <c r="A97" s="169" t="s">
        <v>74</v>
      </c>
      <c r="B97" s="155">
        <v>1</v>
      </c>
      <c r="C97" s="257" t="s">
        <v>114</v>
      </c>
      <c r="D97" s="258">
        <f>D96*$B$87</f>
        <v>15.33</v>
      </c>
      <c r="E97" s="198"/>
      <c r="F97" s="197">
        <f>F96*$B$87</f>
        <v>17.2</v>
      </c>
    </row>
    <row r="98" spans="1:10" ht="19.5" customHeight="1" thickBot="1" x14ac:dyDescent="0.35">
      <c r="A98" s="169" t="s">
        <v>76</v>
      </c>
      <c r="B98" s="198">
        <f>(B97/B96)*(B95/B94)*(B93/B92)*(B91/B90)*B89</f>
        <v>100</v>
      </c>
      <c r="C98" s="257" t="s">
        <v>115</v>
      </c>
      <c r="D98" s="259">
        <f>D97*$B$83/100</f>
        <v>15.179765999999999</v>
      </c>
      <c r="E98" s="200"/>
      <c r="F98" s="199">
        <f>F97*$B$83/100</f>
        <v>17.031439999999996</v>
      </c>
    </row>
    <row r="99" spans="1:10" ht="19.5" customHeight="1" thickBot="1" x14ac:dyDescent="0.35">
      <c r="A99" s="501" t="s">
        <v>78</v>
      </c>
      <c r="B99" s="518"/>
      <c r="C99" s="257" t="s">
        <v>116</v>
      </c>
      <c r="D99" s="260">
        <f>D98/$B$98</f>
        <v>0.15179766</v>
      </c>
      <c r="E99" s="200"/>
      <c r="F99" s="203">
        <f>F98/$B$98</f>
        <v>0.17031439999999998</v>
      </c>
      <c r="H99" s="90"/>
    </row>
    <row r="100" spans="1:10" ht="19.5" customHeight="1" thickBot="1" x14ac:dyDescent="0.35">
      <c r="A100" s="503"/>
      <c r="B100" s="519"/>
      <c r="C100" s="257" t="s">
        <v>80</v>
      </c>
      <c r="D100" s="261">
        <f>$B$56/$B$116</f>
        <v>0.17777777777777778</v>
      </c>
      <c r="F100" s="208"/>
      <c r="G100" s="262"/>
      <c r="H100" s="90"/>
    </row>
    <row r="101" spans="1:10" ht="18.75" x14ac:dyDescent="0.3">
      <c r="C101" s="257" t="s">
        <v>81</v>
      </c>
      <c r="D101" s="258">
        <f>D100*$B$98</f>
        <v>17.777777777777779</v>
      </c>
      <c r="F101" s="208"/>
      <c r="H101" s="90"/>
    </row>
    <row r="102" spans="1:10" ht="19.5" customHeight="1" thickBot="1" x14ac:dyDescent="0.35">
      <c r="C102" s="263" t="s">
        <v>82</v>
      </c>
      <c r="D102" s="264">
        <f>D101/B34</f>
        <v>17.777777777777779</v>
      </c>
      <c r="F102" s="212"/>
      <c r="H102" s="90"/>
      <c r="J102" s="265"/>
    </row>
    <row r="103" spans="1:10" ht="18.75" x14ac:dyDescent="0.3">
      <c r="C103" s="266" t="s">
        <v>117</v>
      </c>
      <c r="D103" s="267">
        <f>AVERAGE(E91:E94,G91:G94)</f>
        <v>67125107.027035132</v>
      </c>
      <c r="F103" s="212"/>
      <c r="G103" s="262"/>
      <c r="H103" s="90"/>
      <c r="J103" s="268"/>
    </row>
    <row r="104" spans="1:10" ht="18.75" x14ac:dyDescent="0.3">
      <c r="C104" s="240" t="s">
        <v>84</v>
      </c>
      <c r="D104" s="269">
        <f>STDEV(E91:E94,G91:G94)/D103</f>
        <v>3.5374041739666116E-3</v>
      </c>
      <c r="F104" s="212"/>
      <c r="H104" s="90"/>
      <c r="J104" s="268"/>
    </row>
    <row r="105" spans="1:10" ht="19.5" customHeight="1" thickBot="1" x14ac:dyDescent="0.35">
      <c r="C105" s="242" t="s">
        <v>20</v>
      </c>
      <c r="D105" s="270">
        <f>COUNT(E91:E94,G91:G94)</f>
        <v>6</v>
      </c>
      <c r="F105" s="212"/>
      <c r="H105" s="90"/>
      <c r="J105" s="268"/>
    </row>
    <row r="106" spans="1:10" ht="19.5" customHeight="1" thickBot="1" x14ac:dyDescent="0.35">
      <c r="A106" s="216"/>
      <c r="B106" s="216"/>
      <c r="C106" s="216"/>
      <c r="D106" s="216"/>
      <c r="E106" s="216"/>
    </row>
    <row r="107" spans="1:10" ht="27" customHeight="1" thickBot="1" x14ac:dyDescent="0.45">
      <c r="A107" s="167" t="s">
        <v>118</v>
      </c>
      <c r="B107" s="168">
        <v>900</v>
      </c>
      <c r="C107" s="222" t="s">
        <v>119</v>
      </c>
      <c r="D107" s="222" t="s">
        <v>63</v>
      </c>
      <c r="E107" s="222" t="s">
        <v>120</v>
      </c>
      <c r="F107" s="271" t="s">
        <v>121</v>
      </c>
    </row>
    <row r="108" spans="1:10" ht="26.25" customHeight="1" x14ac:dyDescent="0.4">
      <c r="A108" s="169" t="s">
        <v>122</v>
      </c>
      <c r="B108" s="170">
        <v>4</v>
      </c>
      <c r="C108" s="223">
        <v>1</v>
      </c>
      <c r="D108" s="272">
        <v>66516210</v>
      </c>
      <c r="E108" s="273">
        <f t="shared" ref="E108:E113" si="1">IF(ISBLANK(D108),"-",D108/$D$103*$D$100*$B$116)</f>
        <v>792.74313825031345</v>
      </c>
      <c r="F108" s="274">
        <f t="shared" ref="F108:F113" si="2">IF(ISBLANK(D108), "-", (E108/$B$56)*100)</f>
        <v>99.092892281289181</v>
      </c>
    </row>
    <row r="109" spans="1:10" ht="26.25" customHeight="1" x14ac:dyDescent="0.4">
      <c r="A109" s="169" t="s">
        <v>95</v>
      </c>
      <c r="B109" s="170">
        <v>20</v>
      </c>
      <c r="C109" s="227">
        <v>2</v>
      </c>
      <c r="D109" s="275">
        <v>69589377</v>
      </c>
      <c r="E109" s="276">
        <f t="shared" si="1"/>
        <v>829.36927873467516</v>
      </c>
      <c r="F109" s="277">
        <f t="shared" si="2"/>
        <v>103.6711598418344</v>
      </c>
    </row>
    <row r="110" spans="1:10" ht="26.25" customHeight="1" x14ac:dyDescent="0.4">
      <c r="A110" s="169" t="s">
        <v>96</v>
      </c>
      <c r="B110" s="170">
        <v>1</v>
      </c>
      <c r="C110" s="227">
        <v>3</v>
      </c>
      <c r="D110" s="275">
        <v>69524771</v>
      </c>
      <c r="E110" s="276">
        <f t="shared" si="1"/>
        <v>828.59930156385008</v>
      </c>
      <c r="F110" s="277">
        <f t="shared" si="2"/>
        <v>103.57491269548127</v>
      </c>
    </row>
    <row r="111" spans="1:10" ht="26.25" customHeight="1" x14ac:dyDescent="0.4">
      <c r="A111" s="169" t="s">
        <v>97</v>
      </c>
      <c r="B111" s="170">
        <v>1</v>
      </c>
      <c r="C111" s="227">
        <v>4</v>
      </c>
      <c r="D111" s="275">
        <v>66667065</v>
      </c>
      <c r="E111" s="276">
        <f t="shared" si="1"/>
        <v>794.54103482500943</v>
      </c>
      <c r="F111" s="277">
        <f t="shared" si="2"/>
        <v>99.317629353126179</v>
      </c>
    </row>
    <row r="112" spans="1:10" ht="26.25" customHeight="1" x14ac:dyDescent="0.4">
      <c r="A112" s="169" t="s">
        <v>98</v>
      </c>
      <c r="B112" s="170">
        <v>1</v>
      </c>
      <c r="C112" s="227">
        <v>5</v>
      </c>
      <c r="D112" s="275">
        <v>66494041</v>
      </c>
      <c r="E112" s="276">
        <f t="shared" si="1"/>
        <v>792.47892712595933</v>
      </c>
      <c r="F112" s="277">
        <f t="shared" si="2"/>
        <v>99.059865890744916</v>
      </c>
    </row>
    <row r="113" spans="1:10" ht="27" customHeight="1" thickBot="1" x14ac:dyDescent="0.45">
      <c r="A113" s="169" t="s">
        <v>100</v>
      </c>
      <c r="B113" s="170">
        <v>1</v>
      </c>
      <c r="C113" s="231">
        <v>6</v>
      </c>
      <c r="D113" s="278">
        <v>69928656</v>
      </c>
      <c r="E113" s="279">
        <f t="shared" si="1"/>
        <v>833.41282089082665</v>
      </c>
      <c r="F113" s="280">
        <f t="shared" si="2"/>
        <v>104.17660261135333</v>
      </c>
    </row>
    <row r="114" spans="1:10" ht="27" customHeight="1" thickBot="1" x14ac:dyDescent="0.45">
      <c r="A114" s="169" t="s">
        <v>101</v>
      </c>
      <c r="B114" s="170">
        <v>1</v>
      </c>
      <c r="C114" s="281"/>
      <c r="D114" s="198"/>
      <c r="E114" s="143"/>
      <c r="F114" s="277"/>
    </row>
    <row r="115" spans="1:10" ht="26.25" customHeight="1" x14ac:dyDescent="0.4">
      <c r="A115" s="169" t="s">
        <v>102</v>
      </c>
      <c r="B115" s="170">
        <v>1</v>
      </c>
      <c r="C115" s="281"/>
      <c r="D115" s="282" t="s">
        <v>71</v>
      </c>
      <c r="E115" s="283">
        <f>AVERAGE(E108:E113)</f>
        <v>811.85741689843906</v>
      </c>
      <c r="F115" s="284">
        <f>AVERAGE(F108:F113)</f>
        <v>101.48217711230488</v>
      </c>
    </row>
    <row r="116" spans="1:10" ht="27" customHeight="1" thickBot="1" x14ac:dyDescent="0.45">
      <c r="A116" s="169" t="s">
        <v>103</v>
      </c>
      <c r="B116" s="181">
        <f>(B115/B114)*(B113/B112)*(B111/B110)*(B109/B108)*B107</f>
        <v>4500</v>
      </c>
      <c r="C116" s="285"/>
      <c r="D116" s="286" t="s">
        <v>84</v>
      </c>
      <c r="E116" s="241">
        <f>STDEV(E108:E113)/E115</f>
        <v>2.5197086766582652E-2</v>
      </c>
      <c r="F116" s="287">
        <f>STDEV(F108:F113)/F115</f>
        <v>2.5197086766582673E-2</v>
      </c>
      <c r="I116" s="143"/>
    </row>
    <row r="117" spans="1:10" ht="27" customHeight="1" thickBot="1" x14ac:dyDescent="0.45">
      <c r="A117" s="501" t="s">
        <v>78</v>
      </c>
      <c r="B117" s="502"/>
      <c r="C117" s="288"/>
      <c r="D117" s="242" t="s">
        <v>20</v>
      </c>
      <c r="E117" s="289">
        <f>COUNT(E108:E113)</f>
        <v>6</v>
      </c>
      <c r="F117" s="290">
        <f>COUNT(F108:F113)</f>
        <v>6</v>
      </c>
      <c r="I117" s="143"/>
      <c r="J117" s="268"/>
    </row>
    <row r="118" spans="1:10" ht="26.25" customHeight="1" thickBot="1" x14ac:dyDescent="0.35">
      <c r="A118" s="503"/>
      <c r="B118" s="504"/>
      <c r="C118" s="143"/>
      <c r="D118" s="291"/>
      <c r="E118" s="520" t="s">
        <v>123</v>
      </c>
      <c r="F118" s="521"/>
      <c r="G118" s="143"/>
      <c r="H118" s="143"/>
      <c r="I118" s="143"/>
    </row>
    <row r="119" spans="1:10" ht="25.5" customHeight="1" x14ac:dyDescent="0.4">
      <c r="A119" s="292"/>
      <c r="B119" s="165"/>
      <c r="C119" s="143"/>
      <c r="D119" s="286" t="s">
        <v>124</v>
      </c>
      <c r="E119" s="293">
        <f>MIN(E108:E113)</f>
        <v>792.47892712595933</v>
      </c>
      <c r="F119" s="294">
        <f>MIN(F108:F113)</f>
        <v>99.059865890744916</v>
      </c>
      <c r="G119" s="143"/>
      <c r="H119" s="143"/>
      <c r="I119" s="143"/>
    </row>
    <row r="120" spans="1:10" ht="24" customHeight="1" thickBot="1" x14ac:dyDescent="0.45">
      <c r="A120" s="292"/>
      <c r="B120" s="165"/>
      <c r="C120" s="143"/>
      <c r="D120" s="209" t="s">
        <v>125</v>
      </c>
      <c r="E120" s="295">
        <f>MAX(E108:E113)</f>
        <v>833.41282089082665</v>
      </c>
      <c r="F120" s="296">
        <f>MAX(F108:F113)</f>
        <v>104.17660261135333</v>
      </c>
      <c r="G120" s="143"/>
      <c r="H120" s="143"/>
      <c r="I120" s="143"/>
    </row>
    <row r="121" spans="1:10" ht="27" customHeight="1" x14ac:dyDescent="0.3">
      <c r="A121" s="292"/>
      <c r="B121" s="165"/>
      <c r="C121" s="143"/>
      <c r="D121" s="143"/>
      <c r="E121" s="143"/>
      <c r="F121" s="198"/>
      <c r="G121" s="143"/>
      <c r="H121" s="143"/>
      <c r="I121" s="143"/>
    </row>
    <row r="122" spans="1:10" ht="25.5" customHeight="1" x14ac:dyDescent="0.3">
      <c r="A122" s="292"/>
      <c r="B122" s="165"/>
      <c r="C122" s="143"/>
      <c r="D122" s="143"/>
      <c r="E122" s="143"/>
      <c r="F122" s="198"/>
      <c r="G122" s="143"/>
      <c r="H122" s="143"/>
      <c r="I122" s="143"/>
    </row>
    <row r="123" spans="1:10" ht="18.75" x14ac:dyDescent="0.3">
      <c r="A123" s="292"/>
      <c r="B123" s="165"/>
      <c r="C123" s="143"/>
      <c r="D123" s="143"/>
      <c r="E123" s="143"/>
      <c r="F123" s="198"/>
      <c r="G123" s="143"/>
      <c r="H123" s="143"/>
      <c r="I123" s="143"/>
    </row>
    <row r="124" spans="1:10" ht="45.75" customHeight="1" x14ac:dyDescent="0.65">
      <c r="A124" s="153" t="s">
        <v>106</v>
      </c>
      <c r="B124" s="154" t="s">
        <v>126</v>
      </c>
      <c r="C124" s="496" t="str">
        <f>B26</f>
        <v>Sulfamethoxazole</v>
      </c>
      <c r="D124" s="496"/>
      <c r="E124" s="143" t="s">
        <v>127</v>
      </c>
      <c r="F124" s="143"/>
      <c r="G124" s="297">
        <f>F115</f>
        <v>101.48217711230488</v>
      </c>
      <c r="H124" s="143"/>
      <c r="I124" s="143"/>
    </row>
    <row r="125" spans="1:10" ht="45.75" customHeight="1" x14ac:dyDescent="0.65">
      <c r="A125" s="153"/>
      <c r="B125" s="154" t="s">
        <v>128</v>
      </c>
      <c r="C125" s="154" t="s">
        <v>129</v>
      </c>
      <c r="D125" s="297">
        <f>MIN(F108:F113)</f>
        <v>99.059865890744916</v>
      </c>
      <c r="E125" s="154" t="s">
        <v>130</v>
      </c>
      <c r="F125" s="297">
        <f>MAX(F108:F113)</f>
        <v>104.17660261135333</v>
      </c>
      <c r="G125" s="244"/>
      <c r="H125" s="143"/>
      <c r="I125" s="143"/>
    </row>
    <row r="126" spans="1:10" ht="19.5" customHeight="1" thickBot="1" x14ac:dyDescent="0.35">
      <c r="A126" s="298"/>
      <c r="B126" s="298"/>
      <c r="C126" s="299"/>
      <c r="D126" s="299"/>
      <c r="E126" s="299"/>
      <c r="F126" s="299"/>
      <c r="G126" s="299"/>
      <c r="H126" s="299"/>
    </row>
    <row r="127" spans="1:10" ht="18.75" x14ac:dyDescent="0.3">
      <c r="B127" s="516" t="s">
        <v>26</v>
      </c>
      <c r="C127" s="516"/>
      <c r="E127" s="247" t="s">
        <v>27</v>
      </c>
      <c r="F127" s="300"/>
      <c r="G127" s="516" t="s">
        <v>28</v>
      </c>
      <c r="H127" s="516"/>
    </row>
    <row r="128" spans="1:10" ht="69.95" customHeight="1" x14ac:dyDescent="0.3">
      <c r="A128" s="153" t="s">
        <v>29</v>
      </c>
      <c r="B128" s="301"/>
      <c r="C128" s="301"/>
      <c r="E128" s="301"/>
      <c r="F128" s="143"/>
      <c r="G128" s="301"/>
      <c r="H128" s="301"/>
    </row>
    <row r="129" spans="1:9" ht="69.95" customHeight="1" x14ac:dyDescent="0.3">
      <c r="A129" s="153" t="s">
        <v>30</v>
      </c>
      <c r="B129" s="302"/>
      <c r="C129" s="302"/>
      <c r="E129" s="302"/>
      <c r="F129" s="143"/>
      <c r="G129" s="303"/>
      <c r="H129" s="303"/>
    </row>
    <row r="130" spans="1:9" ht="18.75" x14ac:dyDescent="0.3">
      <c r="A130" s="198"/>
      <c r="B130" s="198"/>
      <c r="C130" s="198"/>
      <c r="D130" s="198"/>
      <c r="E130" s="198"/>
      <c r="F130" s="200"/>
      <c r="G130" s="198"/>
      <c r="H130" s="198"/>
      <c r="I130" s="143"/>
    </row>
    <row r="131" spans="1:9" ht="18.75" x14ac:dyDescent="0.3">
      <c r="A131" s="198"/>
      <c r="B131" s="198"/>
      <c r="C131" s="198"/>
      <c r="D131" s="198"/>
      <c r="E131" s="198"/>
      <c r="F131" s="200"/>
      <c r="G131" s="198"/>
      <c r="H131" s="198"/>
      <c r="I131" s="143"/>
    </row>
    <row r="132" spans="1:9" ht="18.75" x14ac:dyDescent="0.3">
      <c r="A132" s="198"/>
      <c r="B132" s="198"/>
      <c r="C132" s="198"/>
      <c r="D132" s="198"/>
      <c r="E132" s="198"/>
      <c r="F132" s="200"/>
      <c r="G132" s="198"/>
      <c r="H132" s="198"/>
      <c r="I132" s="143"/>
    </row>
    <row r="133" spans="1:9" ht="18.75" x14ac:dyDescent="0.3">
      <c r="A133" s="198"/>
      <c r="B133" s="198"/>
      <c r="C133" s="198"/>
      <c r="D133" s="198"/>
      <c r="E133" s="198"/>
      <c r="F133" s="200"/>
      <c r="G133" s="198"/>
      <c r="H133" s="198"/>
      <c r="I133" s="143"/>
    </row>
    <row r="134" spans="1:9" ht="18.75" x14ac:dyDescent="0.3">
      <c r="A134" s="198"/>
      <c r="B134" s="198"/>
      <c r="C134" s="198"/>
      <c r="D134" s="198"/>
      <c r="E134" s="198"/>
      <c r="F134" s="200"/>
      <c r="G134" s="198"/>
      <c r="H134" s="198"/>
      <c r="I134" s="143"/>
    </row>
    <row r="135" spans="1:9" ht="18.75" x14ac:dyDescent="0.3">
      <c r="A135" s="198"/>
      <c r="B135" s="198"/>
      <c r="C135" s="198"/>
      <c r="D135" s="198"/>
      <c r="E135" s="198"/>
      <c r="F135" s="200"/>
      <c r="G135" s="198"/>
      <c r="H135" s="198"/>
      <c r="I135" s="143"/>
    </row>
    <row r="136" spans="1:9" ht="18.75" x14ac:dyDescent="0.3">
      <c r="A136" s="198"/>
      <c r="B136" s="198"/>
      <c r="C136" s="198"/>
      <c r="D136" s="198"/>
      <c r="E136" s="198"/>
      <c r="F136" s="200"/>
      <c r="G136" s="198"/>
      <c r="H136" s="198"/>
      <c r="I136" s="143"/>
    </row>
    <row r="137" spans="1:9" ht="18.75" x14ac:dyDescent="0.3">
      <c r="A137" s="198"/>
      <c r="B137" s="198"/>
      <c r="C137" s="198"/>
      <c r="D137" s="198"/>
      <c r="E137" s="198"/>
      <c r="F137" s="200"/>
      <c r="G137" s="198"/>
      <c r="H137" s="198"/>
      <c r="I137" s="143"/>
    </row>
    <row r="138" spans="1:9" ht="18.75" x14ac:dyDescent="0.3">
      <c r="A138" s="198"/>
      <c r="B138" s="198"/>
      <c r="C138" s="198"/>
      <c r="D138" s="198"/>
      <c r="E138" s="198"/>
      <c r="F138" s="200"/>
      <c r="G138" s="198"/>
      <c r="H138" s="198"/>
      <c r="I138" s="143"/>
    </row>
    <row r="250" spans="1:1" x14ac:dyDescent="0.25">
      <c r="A250" s="5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5" workbookViewId="0">
      <selection activeCell="E101" sqref="E101"/>
    </sheetView>
  </sheetViews>
  <sheetFormatPr defaultColWidth="9.140625" defaultRowHeight="13.5" x14ac:dyDescent="0.25"/>
  <cols>
    <col min="1" max="1" width="55.42578125" style="304" customWidth="1"/>
    <col min="2" max="2" width="33.7109375" style="304" customWidth="1"/>
    <col min="3" max="3" width="42.28515625" style="304" customWidth="1"/>
    <col min="4" max="4" width="30.5703125" style="304" customWidth="1"/>
    <col min="5" max="5" width="39.85546875" style="304" customWidth="1"/>
    <col min="6" max="6" width="30.7109375" style="304" customWidth="1"/>
    <col min="7" max="7" width="39.85546875" style="304" customWidth="1"/>
    <col min="8" max="8" width="30" style="304" customWidth="1"/>
    <col min="9" max="9" width="30.28515625" style="304" hidden="1" customWidth="1"/>
    <col min="10" max="10" width="30.42578125" style="304" customWidth="1"/>
    <col min="11" max="11" width="21.28515625" style="304" customWidth="1"/>
    <col min="12" max="12" width="9.140625" style="304"/>
    <col min="13" max="16384" width="9.140625" style="306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thickBot="1" x14ac:dyDescent="0.35">
      <c r="A15" s="305"/>
    </row>
    <row r="16" spans="1:9" ht="19.5" customHeight="1" thickBot="1" x14ac:dyDescent="0.35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307" t="s">
        <v>33</v>
      </c>
      <c r="B18" s="531" t="s">
        <v>131</v>
      </c>
      <c r="C18" s="531"/>
      <c r="D18" s="308"/>
      <c r="E18" s="309"/>
      <c r="F18" s="310"/>
      <c r="G18" s="310"/>
      <c r="H18" s="310"/>
    </row>
    <row r="19" spans="1:14" ht="26.25" customHeight="1" x14ac:dyDescent="0.4">
      <c r="A19" s="307" t="s">
        <v>34</v>
      </c>
      <c r="B19" s="311" t="s">
        <v>7</v>
      </c>
      <c r="C19" s="310">
        <v>1</v>
      </c>
      <c r="D19" s="310"/>
      <c r="E19" s="310"/>
      <c r="F19" s="310"/>
      <c r="G19" s="310"/>
      <c r="H19" s="310"/>
    </row>
    <row r="20" spans="1:14" ht="26.25" customHeight="1" x14ac:dyDescent="0.4">
      <c r="A20" s="307" t="s">
        <v>35</v>
      </c>
      <c r="B20" s="532" t="s">
        <v>139</v>
      </c>
      <c r="C20" s="532"/>
      <c r="D20" s="310"/>
      <c r="E20" s="310"/>
      <c r="F20" s="310"/>
      <c r="G20" s="310"/>
      <c r="H20" s="310"/>
    </row>
    <row r="21" spans="1:14" ht="26.25" customHeight="1" x14ac:dyDescent="0.4">
      <c r="A21" s="307" t="s">
        <v>36</v>
      </c>
      <c r="B21" s="532" t="s">
        <v>135</v>
      </c>
      <c r="C21" s="532"/>
      <c r="D21" s="532"/>
      <c r="E21" s="532"/>
      <c r="F21" s="532"/>
      <c r="G21" s="532"/>
      <c r="H21" s="532"/>
      <c r="I21" s="312"/>
    </row>
    <row r="22" spans="1:14" ht="26.25" customHeight="1" x14ac:dyDescent="0.4">
      <c r="A22" s="307" t="s">
        <v>37</v>
      </c>
      <c r="B22" s="313" t="s">
        <v>136</v>
      </c>
      <c r="C22" s="310"/>
      <c r="D22" s="310"/>
      <c r="E22" s="310"/>
      <c r="F22" s="310"/>
      <c r="G22" s="310"/>
      <c r="H22" s="310"/>
    </row>
    <row r="23" spans="1:14" ht="26.25" customHeight="1" x14ac:dyDescent="0.4">
      <c r="A23" s="307" t="s">
        <v>38</v>
      </c>
      <c r="B23" s="313"/>
      <c r="C23" s="310"/>
      <c r="D23" s="310"/>
      <c r="E23" s="310"/>
      <c r="F23" s="310"/>
      <c r="G23" s="310"/>
      <c r="H23" s="310"/>
    </row>
    <row r="24" spans="1:14" ht="18.75" x14ac:dyDescent="0.3">
      <c r="A24" s="307"/>
      <c r="B24" s="314"/>
    </row>
    <row r="25" spans="1:14" ht="18.75" x14ac:dyDescent="0.3">
      <c r="A25" s="315" t="s">
        <v>1</v>
      </c>
      <c r="B25" s="314"/>
    </row>
    <row r="26" spans="1:14" ht="26.25" customHeight="1" x14ac:dyDescent="0.4">
      <c r="A26" s="316" t="s">
        <v>4</v>
      </c>
      <c r="B26" s="531" t="s">
        <v>140</v>
      </c>
      <c r="C26" s="531"/>
    </row>
    <row r="27" spans="1:14" ht="26.25" customHeight="1" x14ac:dyDescent="0.4">
      <c r="A27" s="317" t="s">
        <v>48</v>
      </c>
      <c r="B27" s="533" t="s">
        <v>141</v>
      </c>
      <c r="C27" s="533"/>
    </row>
    <row r="28" spans="1:14" ht="27" customHeight="1" thickBot="1" x14ac:dyDescent="0.45">
      <c r="A28" s="317" t="s">
        <v>6</v>
      </c>
      <c r="B28" s="318">
        <v>99.3</v>
      </c>
    </row>
    <row r="29" spans="1:14" s="320" customFormat="1" ht="27" customHeight="1" thickBot="1" x14ac:dyDescent="0.45">
      <c r="A29" s="317" t="s">
        <v>49</v>
      </c>
      <c r="B29" s="319">
        <v>0</v>
      </c>
      <c r="C29" s="534" t="s">
        <v>50</v>
      </c>
      <c r="D29" s="535"/>
      <c r="E29" s="535"/>
      <c r="F29" s="535"/>
      <c r="G29" s="536"/>
      <c r="I29" s="321"/>
      <c r="J29" s="321"/>
      <c r="K29" s="321"/>
      <c r="L29" s="321"/>
    </row>
    <row r="30" spans="1:14" s="320" customFormat="1" ht="19.5" customHeight="1" thickBot="1" x14ac:dyDescent="0.35">
      <c r="A30" s="317" t="s">
        <v>51</v>
      </c>
      <c r="B30" s="322">
        <f>B28-B29</f>
        <v>99.3</v>
      </c>
      <c r="C30" s="323"/>
      <c r="D30" s="323"/>
      <c r="E30" s="323"/>
      <c r="F30" s="323"/>
      <c r="G30" s="324"/>
      <c r="I30" s="321"/>
      <c r="J30" s="321"/>
      <c r="K30" s="321"/>
      <c r="L30" s="321"/>
    </row>
    <row r="31" spans="1:14" s="320" customFormat="1" ht="27" customHeight="1" thickBot="1" x14ac:dyDescent="0.45">
      <c r="A31" s="317" t="s">
        <v>52</v>
      </c>
      <c r="B31" s="325">
        <v>1</v>
      </c>
      <c r="C31" s="522" t="s">
        <v>53</v>
      </c>
      <c r="D31" s="523"/>
      <c r="E31" s="523"/>
      <c r="F31" s="523"/>
      <c r="G31" s="523"/>
      <c r="H31" s="524"/>
      <c r="I31" s="321"/>
      <c r="J31" s="321"/>
      <c r="K31" s="321"/>
      <c r="L31" s="321"/>
    </row>
    <row r="32" spans="1:14" s="320" customFormat="1" ht="27" customHeight="1" thickBot="1" x14ac:dyDescent="0.45">
      <c r="A32" s="317" t="s">
        <v>54</v>
      </c>
      <c r="B32" s="325">
        <v>1</v>
      </c>
      <c r="C32" s="522" t="s">
        <v>55</v>
      </c>
      <c r="D32" s="523"/>
      <c r="E32" s="523"/>
      <c r="F32" s="523"/>
      <c r="G32" s="523"/>
      <c r="H32" s="524"/>
      <c r="I32" s="321"/>
      <c r="J32" s="321"/>
      <c r="K32" s="321"/>
      <c r="L32" s="326"/>
      <c r="M32" s="326"/>
      <c r="N32" s="327"/>
    </row>
    <row r="33" spans="1:14" s="320" customFormat="1" ht="17.25" customHeight="1" x14ac:dyDescent="0.3">
      <c r="A33" s="317"/>
      <c r="B33" s="328"/>
      <c r="C33" s="329"/>
      <c r="D33" s="329"/>
      <c r="E33" s="329"/>
      <c r="F33" s="329"/>
      <c r="G33" s="329"/>
      <c r="H33" s="329"/>
      <c r="I33" s="321"/>
      <c r="J33" s="321"/>
      <c r="K33" s="321"/>
      <c r="L33" s="326"/>
      <c r="M33" s="326"/>
      <c r="N33" s="327"/>
    </row>
    <row r="34" spans="1:14" s="320" customFormat="1" ht="18.75" x14ac:dyDescent="0.3">
      <c r="A34" s="317" t="s">
        <v>56</v>
      </c>
      <c r="B34" s="330">
        <f>B31/B32</f>
        <v>1</v>
      </c>
      <c r="C34" s="305" t="s">
        <v>57</v>
      </c>
      <c r="D34" s="305"/>
      <c r="E34" s="305"/>
      <c r="F34" s="305"/>
      <c r="G34" s="305"/>
      <c r="I34" s="321"/>
      <c r="J34" s="321"/>
      <c r="K34" s="321"/>
      <c r="L34" s="326"/>
      <c r="M34" s="326"/>
      <c r="N34" s="327"/>
    </row>
    <row r="35" spans="1:14" s="320" customFormat="1" ht="19.5" customHeight="1" thickBot="1" x14ac:dyDescent="0.35">
      <c r="A35" s="317"/>
      <c r="B35" s="322"/>
      <c r="G35" s="305"/>
      <c r="I35" s="321"/>
      <c r="J35" s="321"/>
      <c r="K35" s="321"/>
      <c r="L35" s="326"/>
      <c r="M35" s="326"/>
      <c r="N35" s="327"/>
    </row>
    <row r="36" spans="1:14" s="320" customFormat="1" ht="27" customHeight="1" thickBot="1" x14ac:dyDescent="0.45">
      <c r="A36" s="331" t="s">
        <v>58</v>
      </c>
      <c r="B36" s="332">
        <v>25</v>
      </c>
      <c r="C36" s="305"/>
      <c r="D36" s="538" t="s">
        <v>59</v>
      </c>
      <c r="E36" s="539"/>
      <c r="F36" s="538" t="s">
        <v>60</v>
      </c>
      <c r="G36" s="540"/>
      <c r="J36" s="321"/>
      <c r="K36" s="321"/>
      <c r="L36" s="326"/>
      <c r="M36" s="326"/>
      <c r="N36" s="327"/>
    </row>
    <row r="37" spans="1:14" s="320" customFormat="1" ht="27" customHeight="1" thickBot="1" x14ac:dyDescent="0.45">
      <c r="A37" s="333" t="s">
        <v>61</v>
      </c>
      <c r="B37" s="334">
        <v>4</v>
      </c>
      <c r="C37" s="335" t="s">
        <v>62</v>
      </c>
      <c r="D37" s="336" t="s">
        <v>63</v>
      </c>
      <c r="E37" s="337" t="s">
        <v>64</v>
      </c>
      <c r="F37" s="336" t="s">
        <v>63</v>
      </c>
      <c r="G37" s="338" t="s">
        <v>64</v>
      </c>
      <c r="I37" s="339" t="s">
        <v>65</v>
      </c>
      <c r="J37" s="321"/>
      <c r="K37" s="321"/>
      <c r="L37" s="326"/>
      <c r="M37" s="326"/>
      <c r="N37" s="327"/>
    </row>
    <row r="38" spans="1:14" s="320" customFormat="1" ht="26.25" customHeight="1" x14ac:dyDescent="0.4">
      <c r="A38" s="333" t="s">
        <v>66</v>
      </c>
      <c r="B38" s="334">
        <v>100</v>
      </c>
      <c r="C38" s="340">
        <v>1</v>
      </c>
      <c r="D38" s="341">
        <v>4647576</v>
      </c>
      <c r="E38" s="342">
        <f>IF(ISBLANK(D38),"-",$D$48/$D$45*D38)</f>
        <v>4810214.1506475443</v>
      </c>
      <c r="F38" s="341">
        <v>5003708</v>
      </c>
      <c r="G38" s="343">
        <f>IF(ISBLANK(F38),"-",$D$48/$F$45*F38)</f>
        <v>4780816.7609700551</v>
      </c>
      <c r="I38" s="344"/>
      <c r="J38" s="321"/>
      <c r="K38" s="321"/>
      <c r="L38" s="326"/>
      <c r="M38" s="326"/>
      <c r="N38" s="327"/>
    </row>
    <row r="39" spans="1:14" s="320" customFormat="1" ht="26.25" customHeight="1" x14ac:dyDescent="0.4">
      <c r="A39" s="333" t="s">
        <v>67</v>
      </c>
      <c r="B39" s="334">
        <v>1</v>
      </c>
      <c r="C39" s="345">
        <v>2</v>
      </c>
      <c r="D39" s="346">
        <v>4636907</v>
      </c>
      <c r="E39" s="347">
        <f>IF(ISBLANK(D39),"-",$D$48/$D$45*D39)</f>
        <v>4799171.7976503558</v>
      </c>
      <c r="F39" s="346">
        <v>5004921</v>
      </c>
      <c r="G39" s="348">
        <f>IF(ISBLANK(F39),"-",$D$48/$F$45*F39)</f>
        <v>4781975.7276265938</v>
      </c>
      <c r="I39" s="541">
        <f>ABS((F43/D43*D42)-F42)/D42</f>
        <v>4.453700314519503E-3</v>
      </c>
      <c r="J39" s="321"/>
      <c r="K39" s="321"/>
      <c r="L39" s="326"/>
      <c r="M39" s="326"/>
      <c r="N39" s="327"/>
    </row>
    <row r="40" spans="1:14" ht="26.25" customHeight="1" x14ac:dyDescent="0.4">
      <c r="A40" s="333" t="s">
        <v>68</v>
      </c>
      <c r="B40" s="334">
        <v>1</v>
      </c>
      <c r="C40" s="345">
        <v>3</v>
      </c>
      <c r="D40" s="346">
        <v>4658421</v>
      </c>
      <c r="E40" s="347">
        <f>IF(ISBLANK(D40),"-",$D$48/$D$45*D40)</f>
        <v>4821438.6626219088</v>
      </c>
      <c r="F40" s="346">
        <v>5032892</v>
      </c>
      <c r="G40" s="348">
        <f>IF(ISBLANK(F40),"-",$D$48/$F$45*F40)</f>
        <v>4808700.7534716465</v>
      </c>
      <c r="I40" s="541"/>
      <c r="L40" s="326"/>
      <c r="M40" s="326"/>
      <c r="N40" s="305"/>
    </row>
    <row r="41" spans="1:14" ht="27" customHeight="1" thickBot="1" x14ac:dyDescent="0.45">
      <c r="A41" s="333" t="s">
        <v>69</v>
      </c>
      <c r="B41" s="334">
        <v>1</v>
      </c>
      <c r="C41" s="349">
        <v>4</v>
      </c>
      <c r="D41" s="350"/>
      <c r="E41" s="351" t="str">
        <f>IF(ISBLANK(D41),"-",$D$48/$D$45*D41)</f>
        <v>-</v>
      </c>
      <c r="F41" s="350"/>
      <c r="G41" s="352" t="str">
        <f>IF(ISBLANK(F41),"-",$D$48/$F$45*F41)</f>
        <v>-</v>
      </c>
      <c r="I41" s="353"/>
      <c r="L41" s="326"/>
      <c r="M41" s="326"/>
      <c r="N41" s="305"/>
    </row>
    <row r="42" spans="1:14" ht="27" customHeight="1" thickBot="1" x14ac:dyDescent="0.45">
      <c r="A42" s="333" t="s">
        <v>70</v>
      </c>
      <c r="B42" s="334">
        <v>1</v>
      </c>
      <c r="C42" s="354" t="s">
        <v>71</v>
      </c>
      <c r="D42" s="355">
        <f>AVERAGE(D38:D41)</f>
        <v>4647634.666666667</v>
      </c>
      <c r="E42" s="356">
        <f>AVERAGE(E38:E41)</f>
        <v>4810274.8703066027</v>
      </c>
      <c r="F42" s="355">
        <f>AVERAGE(F38:F41)</f>
        <v>5013840.333333333</v>
      </c>
      <c r="G42" s="357">
        <f>AVERAGE(G38:G41)</f>
        <v>4790497.7473560981</v>
      </c>
      <c r="H42" s="358"/>
    </row>
    <row r="43" spans="1:14" ht="26.25" customHeight="1" x14ac:dyDescent="0.4">
      <c r="A43" s="333" t="s">
        <v>72</v>
      </c>
      <c r="B43" s="334">
        <v>1</v>
      </c>
      <c r="C43" s="359" t="s">
        <v>73</v>
      </c>
      <c r="D43" s="360">
        <v>19.46</v>
      </c>
      <c r="E43" s="305"/>
      <c r="F43" s="360">
        <v>21.08</v>
      </c>
      <c r="H43" s="358"/>
    </row>
    <row r="44" spans="1:14" ht="26.25" customHeight="1" x14ac:dyDescent="0.4">
      <c r="A44" s="333" t="s">
        <v>74</v>
      </c>
      <c r="B44" s="334">
        <v>1</v>
      </c>
      <c r="C44" s="361" t="s">
        <v>75</v>
      </c>
      <c r="D44" s="362">
        <f>D43*$B$34</f>
        <v>19.46</v>
      </c>
      <c r="E44" s="363"/>
      <c r="F44" s="362">
        <f>F43*$B$34</f>
        <v>21.08</v>
      </c>
      <c r="H44" s="358"/>
    </row>
    <row r="45" spans="1:14" ht="19.5" customHeight="1" thickBot="1" x14ac:dyDescent="0.35">
      <c r="A45" s="333" t="s">
        <v>76</v>
      </c>
      <c r="B45" s="345">
        <f>(B44/B43)*(B42/B41)*(B40/B39)*(B38/B37)*B36</f>
        <v>625</v>
      </c>
      <c r="C45" s="361" t="s">
        <v>77</v>
      </c>
      <c r="D45" s="364">
        <f>D44*$B$30/100</f>
        <v>19.323779999999999</v>
      </c>
      <c r="E45" s="365"/>
      <c r="F45" s="364">
        <f>F44*$B$30/100</f>
        <v>20.932439999999996</v>
      </c>
      <c r="H45" s="358"/>
    </row>
    <row r="46" spans="1:14" ht="19.5" customHeight="1" thickBot="1" x14ac:dyDescent="0.35">
      <c r="A46" s="542" t="s">
        <v>78</v>
      </c>
      <c r="B46" s="543"/>
      <c r="C46" s="361" t="s">
        <v>79</v>
      </c>
      <c r="D46" s="366">
        <f>D45/$B$45</f>
        <v>3.0918048E-2</v>
      </c>
      <c r="E46" s="367"/>
      <c r="F46" s="368">
        <f>F45/$B$45</f>
        <v>3.3491903999999996E-2</v>
      </c>
      <c r="H46" s="358"/>
    </row>
    <row r="47" spans="1:14" ht="27" customHeight="1" thickBot="1" x14ac:dyDescent="0.45">
      <c r="A47" s="544"/>
      <c r="B47" s="545"/>
      <c r="C47" s="369" t="s">
        <v>80</v>
      </c>
      <c r="D47" s="370">
        <v>3.2000000000000001E-2</v>
      </c>
      <c r="E47" s="371"/>
      <c r="F47" s="367"/>
      <c r="H47" s="358"/>
    </row>
    <row r="48" spans="1:14" ht="18.75" x14ac:dyDescent="0.3">
      <c r="C48" s="372" t="s">
        <v>81</v>
      </c>
      <c r="D48" s="364">
        <f>D47*$B$45</f>
        <v>20</v>
      </c>
      <c r="F48" s="373"/>
      <c r="H48" s="358"/>
    </row>
    <row r="49" spans="1:12" ht="19.5" customHeight="1" thickBot="1" x14ac:dyDescent="0.35">
      <c r="C49" s="374" t="s">
        <v>82</v>
      </c>
      <c r="D49" s="375">
        <f>D48/B34</f>
        <v>20</v>
      </c>
      <c r="F49" s="373"/>
      <c r="H49" s="358"/>
    </row>
    <row r="50" spans="1:12" ht="18.75" x14ac:dyDescent="0.3">
      <c r="C50" s="331" t="s">
        <v>83</v>
      </c>
      <c r="D50" s="376">
        <f>AVERAGE(E38:E41,G38:G41)</f>
        <v>4800386.3088313509</v>
      </c>
      <c r="F50" s="377"/>
      <c r="H50" s="358"/>
    </row>
    <row r="51" spans="1:12" ht="18.75" x14ac:dyDescent="0.3">
      <c r="C51" s="333" t="s">
        <v>84</v>
      </c>
      <c r="D51" s="378">
        <f>STDEV(E38:E41,G38:G41)/D50</f>
        <v>3.4004893698862042E-3</v>
      </c>
      <c r="F51" s="377"/>
      <c r="H51" s="358"/>
    </row>
    <row r="52" spans="1:12" ht="19.5" customHeight="1" thickBot="1" x14ac:dyDescent="0.35">
      <c r="C52" s="379" t="s">
        <v>20</v>
      </c>
      <c r="D52" s="380">
        <f>COUNT(E38:E41,G38:G41)</f>
        <v>6</v>
      </c>
      <c r="F52" s="377"/>
    </row>
    <row r="54" spans="1:12" ht="18.75" x14ac:dyDescent="0.3">
      <c r="A54" s="381" t="s">
        <v>1</v>
      </c>
      <c r="B54" s="382" t="s">
        <v>85</v>
      </c>
    </row>
    <row r="55" spans="1:12" ht="18.75" x14ac:dyDescent="0.3">
      <c r="A55" s="305" t="s">
        <v>86</v>
      </c>
      <c r="B55" s="383" t="str">
        <f>B21</f>
        <v xml:space="preserve">Each tablet contains: Sulphamethoxazole B.P. 800 mg and Trimethoprim B.P. 160 mg.
</v>
      </c>
    </row>
    <row r="56" spans="1:12" ht="26.25" customHeight="1" x14ac:dyDescent="0.4">
      <c r="A56" s="383" t="s">
        <v>87</v>
      </c>
      <c r="B56" s="384">
        <v>160</v>
      </c>
      <c r="C56" s="305" t="str">
        <f>B20</f>
        <v xml:space="preserve"> Trimethoprim BP</v>
      </c>
      <c r="H56" s="363"/>
    </row>
    <row r="57" spans="1:12" ht="18.75" x14ac:dyDescent="0.3">
      <c r="A57" s="383" t="s">
        <v>88</v>
      </c>
      <c r="B57" s="385">
        <f>Uniformity!C46</f>
        <v>1043.9524999999999</v>
      </c>
      <c r="H57" s="363"/>
    </row>
    <row r="58" spans="1:12" ht="19.5" customHeight="1" thickBot="1" x14ac:dyDescent="0.35">
      <c r="H58" s="363"/>
    </row>
    <row r="59" spans="1:12" s="320" customFormat="1" ht="27" customHeight="1" thickBot="1" x14ac:dyDescent="0.45">
      <c r="A59" s="331" t="s">
        <v>89</v>
      </c>
      <c r="B59" s="332">
        <v>100</v>
      </c>
      <c r="C59" s="305"/>
      <c r="D59" s="386" t="s">
        <v>90</v>
      </c>
      <c r="E59" s="387" t="s">
        <v>62</v>
      </c>
      <c r="F59" s="387" t="s">
        <v>63</v>
      </c>
      <c r="G59" s="387" t="s">
        <v>91</v>
      </c>
      <c r="H59" s="335" t="s">
        <v>92</v>
      </c>
      <c r="L59" s="321"/>
    </row>
    <row r="60" spans="1:12" s="320" customFormat="1" ht="26.25" customHeight="1" x14ac:dyDescent="0.4">
      <c r="A60" s="333" t="s">
        <v>93</v>
      </c>
      <c r="B60" s="334">
        <v>2</v>
      </c>
      <c r="C60" s="546" t="s">
        <v>94</v>
      </c>
      <c r="D60" s="508">
        <v>204.94</v>
      </c>
      <c r="E60" s="388">
        <v>1</v>
      </c>
      <c r="F60" s="389">
        <v>4599009</v>
      </c>
      <c r="G60" s="390">
        <f>IF(ISBLANK(F60),"-",(F60/$D$50*$D$47*$B$68)*($B$57/$D$60))</f>
        <v>156.16800276599542</v>
      </c>
      <c r="H60" s="391">
        <f t="shared" ref="H60:H71" si="0">IF(ISBLANK(F60),"-",(G60/$B$56)*100)</f>
        <v>97.605001728747141</v>
      </c>
      <c r="L60" s="321"/>
    </row>
    <row r="61" spans="1:12" s="320" customFormat="1" ht="26.25" customHeight="1" x14ac:dyDescent="0.4">
      <c r="A61" s="333" t="s">
        <v>95</v>
      </c>
      <c r="B61" s="334">
        <v>20</v>
      </c>
      <c r="C61" s="547"/>
      <c r="D61" s="509"/>
      <c r="E61" s="392">
        <v>2</v>
      </c>
      <c r="F61" s="346">
        <v>4633268</v>
      </c>
      <c r="G61" s="393">
        <f>IF(ISBLANK(F61),"-",(F61/$D$50*$D$47*$B$68)*($B$57/$D$60))</f>
        <v>157.33133156286453</v>
      </c>
      <c r="H61" s="394">
        <f t="shared" si="0"/>
        <v>98.332082226790334</v>
      </c>
      <c r="L61" s="321"/>
    </row>
    <row r="62" spans="1:12" s="320" customFormat="1" ht="26.25" customHeight="1" x14ac:dyDescent="0.4">
      <c r="A62" s="333" t="s">
        <v>96</v>
      </c>
      <c r="B62" s="334">
        <v>1</v>
      </c>
      <c r="C62" s="547"/>
      <c r="D62" s="509"/>
      <c r="E62" s="392">
        <v>3</v>
      </c>
      <c r="F62" s="395">
        <v>4689286</v>
      </c>
      <c r="G62" s="393">
        <f>IF(ISBLANK(F62),"-",(F62/$D$50*$D$47*$B$68)*($B$57/$D$60))</f>
        <v>159.23352814020228</v>
      </c>
      <c r="H62" s="394">
        <f t="shared" si="0"/>
        <v>99.520955087626433</v>
      </c>
      <c r="L62" s="321"/>
    </row>
    <row r="63" spans="1:12" ht="27" customHeight="1" thickBot="1" x14ac:dyDescent="0.45">
      <c r="A63" s="333" t="s">
        <v>97</v>
      </c>
      <c r="B63" s="334">
        <v>1</v>
      </c>
      <c r="C63" s="548"/>
      <c r="D63" s="510"/>
      <c r="E63" s="396">
        <v>4</v>
      </c>
      <c r="F63" s="397"/>
      <c r="G63" s="393" t="str">
        <f>IF(ISBLANK(F63),"-",(F63/$D$50*$D$47*$B$68)*($B$57/$D$60))</f>
        <v>-</v>
      </c>
      <c r="H63" s="394" t="str">
        <f t="shared" si="0"/>
        <v>-</v>
      </c>
    </row>
    <row r="64" spans="1:12" ht="26.25" customHeight="1" x14ac:dyDescent="0.4">
      <c r="A64" s="333" t="s">
        <v>98</v>
      </c>
      <c r="B64" s="334">
        <v>1</v>
      </c>
      <c r="C64" s="546" t="s">
        <v>99</v>
      </c>
      <c r="D64" s="508">
        <v>208.64</v>
      </c>
      <c r="E64" s="388">
        <v>1</v>
      </c>
      <c r="F64" s="389">
        <v>4640997</v>
      </c>
      <c r="G64" s="390">
        <f>IF(ISBLANK(F64),"-",(F64/$D$50*$D$47*$B$68)*($B$57/$D$64))</f>
        <v>154.79903256393681</v>
      </c>
      <c r="H64" s="391">
        <f t="shared" si="0"/>
        <v>96.749395352460496</v>
      </c>
    </row>
    <row r="65" spans="1:8" ht="26.25" customHeight="1" x14ac:dyDescent="0.4">
      <c r="A65" s="333" t="s">
        <v>100</v>
      </c>
      <c r="B65" s="334">
        <v>1</v>
      </c>
      <c r="C65" s="547"/>
      <c r="D65" s="509"/>
      <c r="E65" s="392">
        <v>2</v>
      </c>
      <c r="F65" s="346">
        <v>4665346</v>
      </c>
      <c r="G65" s="393">
        <f>IF(ISBLANK(F65),"-",(F65/$D$50*$D$47*$B$68)*($B$57/$D$64))</f>
        <v>155.6111859964642</v>
      </c>
      <c r="H65" s="394">
        <f t="shared" si="0"/>
        <v>97.256991247790125</v>
      </c>
    </row>
    <row r="66" spans="1:8" ht="26.25" customHeight="1" x14ac:dyDescent="0.4">
      <c r="A66" s="333" t="s">
        <v>101</v>
      </c>
      <c r="B66" s="334">
        <v>1</v>
      </c>
      <c r="C66" s="547"/>
      <c r="D66" s="509"/>
      <c r="E66" s="392">
        <v>3</v>
      </c>
      <c r="F66" s="346">
        <v>4665393</v>
      </c>
      <c r="G66" s="393">
        <f>IF(ISBLANK(F66),"-",(F66/$D$50*$D$47*$B$68)*($B$57/$D$64))</f>
        <v>155.61275366705965</v>
      </c>
      <c r="H66" s="394">
        <f t="shared" si="0"/>
        <v>97.257971041912285</v>
      </c>
    </row>
    <row r="67" spans="1:8" ht="27" customHeight="1" thickBot="1" x14ac:dyDescent="0.45">
      <c r="A67" s="333" t="s">
        <v>102</v>
      </c>
      <c r="B67" s="334">
        <v>1</v>
      </c>
      <c r="C67" s="548"/>
      <c r="D67" s="510"/>
      <c r="E67" s="396">
        <v>4</v>
      </c>
      <c r="F67" s="397"/>
      <c r="G67" s="398" t="str">
        <f>IF(ISBLANK(F67),"-",(F67/$D$50*$D$47*$B$68)*($B$57/$D$64))</f>
        <v>-</v>
      </c>
      <c r="H67" s="399" t="str">
        <f t="shared" si="0"/>
        <v>-</v>
      </c>
    </row>
    <row r="68" spans="1:8" ht="26.25" customHeight="1" x14ac:dyDescent="0.4">
      <c r="A68" s="333" t="s">
        <v>103</v>
      </c>
      <c r="B68" s="400">
        <f>(B67/B66)*(B65/B64)*(B63/B62)*(B61/B60)*B59</f>
        <v>1000</v>
      </c>
      <c r="C68" s="546" t="s">
        <v>104</v>
      </c>
      <c r="D68" s="508">
        <v>211.96</v>
      </c>
      <c r="E68" s="388">
        <v>1</v>
      </c>
      <c r="F68" s="389">
        <v>4669576</v>
      </c>
      <c r="G68" s="390">
        <f>IF(ISBLANK(F68),"-",(F68/$D$50*$D$47*$B$68)*($B$57/$D$68))</f>
        <v>153.31267662613485</v>
      </c>
      <c r="H68" s="394">
        <f t="shared" si="0"/>
        <v>95.820422891334275</v>
      </c>
    </row>
    <row r="69" spans="1:8" ht="27" customHeight="1" thickBot="1" x14ac:dyDescent="0.45">
      <c r="A69" s="379" t="s">
        <v>105</v>
      </c>
      <c r="B69" s="401">
        <f>(D47*B68)/B56*B57</f>
        <v>208.79049999999998</v>
      </c>
      <c r="C69" s="547"/>
      <c r="D69" s="509"/>
      <c r="E69" s="392">
        <v>2</v>
      </c>
      <c r="F69" s="346">
        <v>4716924</v>
      </c>
      <c r="G69" s="393">
        <f>IF(ISBLANK(F69),"-",(F69/$D$50*$D$47*$B$68)*($B$57/$D$68))</f>
        <v>154.86721789773944</v>
      </c>
      <c r="H69" s="394">
        <f t="shared" si="0"/>
        <v>96.792011186087151</v>
      </c>
    </row>
    <row r="70" spans="1:8" ht="26.25" customHeight="1" x14ac:dyDescent="0.4">
      <c r="A70" s="550" t="s">
        <v>78</v>
      </c>
      <c r="B70" s="551"/>
      <c r="C70" s="547"/>
      <c r="D70" s="509"/>
      <c r="E70" s="392">
        <v>3</v>
      </c>
      <c r="F70" s="346">
        <v>4697820</v>
      </c>
      <c r="G70" s="393">
        <f>IF(ISBLANK(F70),"-",(F70/$D$50*$D$47*$B$68)*($B$57/$D$68))</f>
        <v>154.2399906346505</v>
      </c>
      <c r="H70" s="394">
        <f t="shared" si="0"/>
        <v>96.399994146656567</v>
      </c>
    </row>
    <row r="71" spans="1:8" ht="27" customHeight="1" thickBot="1" x14ac:dyDescent="0.45">
      <c r="A71" s="552"/>
      <c r="B71" s="553"/>
      <c r="C71" s="549"/>
      <c r="D71" s="510"/>
      <c r="E71" s="396">
        <v>4</v>
      </c>
      <c r="F71" s="397"/>
      <c r="G71" s="398" t="str">
        <f>IF(ISBLANK(F71),"-",(F71/$D$50*$D$47*$B$68)*($B$57/$D$68))</f>
        <v>-</v>
      </c>
      <c r="H71" s="399" t="str">
        <f t="shared" si="0"/>
        <v>-</v>
      </c>
    </row>
    <row r="72" spans="1:8" ht="26.25" customHeight="1" x14ac:dyDescent="0.4">
      <c r="A72" s="363"/>
      <c r="B72" s="363"/>
      <c r="C72" s="363"/>
      <c r="D72" s="363"/>
      <c r="E72" s="363"/>
      <c r="F72" s="402" t="s">
        <v>71</v>
      </c>
      <c r="G72" s="403">
        <f>AVERAGE(G60:G71)</f>
        <v>155.68619109500528</v>
      </c>
      <c r="H72" s="404">
        <f>AVERAGE(H60:H71)</f>
        <v>97.303869434378313</v>
      </c>
    </row>
    <row r="73" spans="1:8" ht="26.25" customHeight="1" x14ac:dyDescent="0.4">
      <c r="C73" s="363"/>
      <c r="D73" s="363"/>
      <c r="E73" s="363"/>
      <c r="F73" s="405" t="s">
        <v>84</v>
      </c>
      <c r="G73" s="406">
        <f>STDEV(G60:G71)/G72</f>
        <v>1.1290020543912701E-2</v>
      </c>
      <c r="H73" s="406">
        <f>STDEV(H60:H71)/H72</f>
        <v>1.129002054391272E-2</v>
      </c>
    </row>
    <row r="74" spans="1:8" ht="27" customHeight="1" thickBot="1" x14ac:dyDescent="0.45">
      <c r="A74" s="363"/>
      <c r="B74" s="363"/>
      <c r="C74" s="363"/>
      <c r="D74" s="363"/>
      <c r="E74" s="365"/>
      <c r="F74" s="407" t="s">
        <v>20</v>
      </c>
      <c r="G74" s="408">
        <f>COUNT(G60:G71)</f>
        <v>9</v>
      </c>
      <c r="H74" s="408">
        <f>COUNT(H60:H71)</f>
        <v>9</v>
      </c>
    </row>
    <row r="76" spans="1:8" ht="26.25" customHeight="1" x14ac:dyDescent="0.4">
      <c r="A76" s="316" t="s">
        <v>106</v>
      </c>
      <c r="B76" s="317" t="s">
        <v>107</v>
      </c>
      <c r="C76" s="537" t="str">
        <f>B26</f>
        <v>TRIMETHOPRIM</v>
      </c>
      <c r="D76" s="537"/>
      <c r="E76" s="305" t="s">
        <v>108</v>
      </c>
      <c r="F76" s="305"/>
      <c r="G76" s="409">
        <f>H72</f>
        <v>97.303869434378313</v>
      </c>
      <c r="H76" s="322"/>
    </row>
    <row r="77" spans="1:8" ht="18.75" x14ac:dyDescent="0.3">
      <c r="A77" s="315" t="s">
        <v>109</v>
      </c>
      <c r="B77" s="315" t="s">
        <v>110</v>
      </c>
    </row>
    <row r="78" spans="1:8" ht="18.75" x14ac:dyDescent="0.3">
      <c r="A78" s="315"/>
      <c r="B78" s="315"/>
    </row>
    <row r="79" spans="1:8" ht="26.25" customHeight="1" x14ac:dyDescent="0.4">
      <c r="A79" s="316" t="s">
        <v>4</v>
      </c>
      <c r="B79" s="555" t="str">
        <f>B26</f>
        <v>TRIMETHOPRIM</v>
      </c>
      <c r="C79" s="555"/>
    </row>
    <row r="80" spans="1:8" ht="26.25" customHeight="1" x14ac:dyDescent="0.4">
      <c r="A80" s="317" t="s">
        <v>48</v>
      </c>
      <c r="B80" s="555" t="str">
        <f>B27</f>
        <v>T7 4</v>
      </c>
      <c r="C80" s="555"/>
    </row>
    <row r="81" spans="1:12" ht="27" customHeight="1" thickBot="1" x14ac:dyDescent="0.45">
      <c r="A81" s="317" t="s">
        <v>6</v>
      </c>
      <c r="B81" s="318">
        <f>B28</f>
        <v>99.3</v>
      </c>
    </row>
    <row r="82" spans="1:12" s="320" customFormat="1" ht="27" customHeight="1" thickBot="1" x14ac:dyDescent="0.45">
      <c r="A82" s="317" t="s">
        <v>49</v>
      </c>
      <c r="B82" s="319">
        <v>0</v>
      </c>
      <c r="C82" s="534" t="s">
        <v>50</v>
      </c>
      <c r="D82" s="535"/>
      <c r="E82" s="535"/>
      <c r="F82" s="535"/>
      <c r="G82" s="536"/>
      <c r="I82" s="321"/>
      <c r="J82" s="321"/>
      <c r="K82" s="321"/>
      <c r="L82" s="321"/>
    </row>
    <row r="83" spans="1:12" s="320" customFormat="1" ht="19.5" customHeight="1" thickBot="1" x14ac:dyDescent="0.35">
      <c r="A83" s="317" t="s">
        <v>51</v>
      </c>
      <c r="B83" s="322">
        <f>B81-B82</f>
        <v>99.3</v>
      </c>
      <c r="C83" s="323"/>
      <c r="D83" s="323"/>
      <c r="E83" s="323"/>
      <c r="F83" s="323"/>
      <c r="G83" s="324"/>
      <c r="I83" s="321"/>
      <c r="J83" s="321"/>
      <c r="K83" s="321"/>
      <c r="L83" s="321"/>
    </row>
    <row r="84" spans="1:12" s="320" customFormat="1" ht="27" customHeight="1" thickBot="1" x14ac:dyDescent="0.45">
      <c r="A84" s="317" t="s">
        <v>52</v>
      </c>
      <c r="B84" s="325">
        <v>1</v>
      </c>
      <c r="C84" s="522" t="s">
        <v>111</v>
      </c>
      <c r="D84" s="523"/>
      <c r="E84" s="523"/>
      <c r="F84" s="523"/>
      <c r="G84" s="523"/>
      <c r="H84" s="524"/>
      <c r="I84" s="321"/>
      <c r="J84" s="321"/>
      <c r="K84" s="321"/>
      <c r="L84" s="321"/>
    </row>
    <row r="85" spans="1:12" s="320" customFormat="1" ht="27" customHeight="1" thickBot="1" x14ac:dyDescent="0.45">
      <c r="A85" s="317" t="s">
        <v>54</v>
      </c>
      <c r="B85" s="325">
        <v>1</v>
      </c>
      <c r="C85" s="522" t="s">
        <v>112</v>
      </c>
      <c r="D85" s="523"/>
      <c r="E85" s="523"/>
      <c r="F85" s="523"/>
      <c r="G85" s="523"/>
      <c r="H85" s="524"/>
      <c r="I85" s="321"/>
      <c r="J85" s="321"/>
      <c r="K85" s="321"/>
      <c r="L85" s="321"/>
    </row>
    <row r="86" spans="1:12" s="320" customFormat="1" ht="18.75" x14ac:dyDescent="0.3">
      <c r="A86" s="317"/>
      <c r="B86" s="328"/>
      <c r="C86" s="329"/>
      <c r="D86" s="329"/>
      <c r="E86" s="329"/>
      <c r="F86" s="329"/>
      <c r="G86" s="329"/>
      <c r="H86" s="329"/>
      <c r="I86" s="321"/>
      <c r="J86" s="321"/>
      <c r="K86" s="321"/>
      <c r="L86" s="321"/>
    </row>
    <row r="87" spans="1:12" s="320" customFormat="1" ht="18.75" x14ac:dyDescent="0.3">
      <c r="A87" s="317" t="s">
        <v>56</v>
      </c>
      <c r="B87" s="330">
        <f>B84/B85</f>
        <v>1</v>
      </c>
      <c r="C87" s="305" t="s">
        <v>57</v>
      </c>
      <c r="D87" s="305"/>
      <c r="E87" s="305"/>
      <c r="F87" s="305"/>
      <c r="G87" s="305"/>
      <c r="I87" s="321"/>
      <c r="J87" s="321"/>
      <c r="K87" s="321"/>
      <c r="L87" s="321"/>
    </row>
    <row r="88" spans="1:12" ht="19.5" customHeight="1" thickBot="1" x14ac:dyDescent="0.35">
      <c r="A88" s="315"/>
      <c r="B88" s="315"/>
    </row>
    <row r="89" spans="1:12" ht="27" customHeight="1" thickBot="1" x14ac:dyDescent="0.45">
      <c r="A89" s="331" t="s">
        <v>58</v>
      </c>
      <c r="B89" s="332">
        <v>25</v>
      </c>
      <c r="D89" s="410" t="s">
        <v>59</v>
      </c>
      <c r="E89" s="411"/>
      <c r="F89" s="538" t="s">
        <v>60</v>
      </c>
      <c r="G89" s="540"/>
    </row>
    <row r="90" spans="1:12" ht="27" customHeight="1" thickBot="1" x14ac:dyDescent="0.45">
      <c r="A90" s="333" t="s">
        <v>61</v>
      </c>
      <c r="B90" s="334">
        <v>4</v>
      </c>
      <c r="C90" s="412" t="s">
        <v>62</v>
      </c>
      <c r="D90" s="336" t="s">
        <v>63</v>
      </c>
      <c r="E90" s="337" t="s">
        <v>64</v>
      </c>
      <c r="F90" s="336" t="s">
        <v>63</v>
      </c>
      <c r="G90" s="413" t="s">
        <v>64</v>
      </c>
      <c r="I90" s="339" t="s">
        <v>65</v>
      </c>
    </row>
    <row r="91" spans="1:12" ht="26.25" customHeight="1" x14ac:dyDescent="0.4">
      <c r="A91" s="333" t="s">
        <v>66</v>
      </c>
      <c r="B91" s="334">
        <v>100</v>
      </c>
      <c r="C91" s="414">
        <v>1</v>
      </c>
      <c r="D91" s="53">
        <v>4425240</v>
      </c>
      <c r="E91" s="342">
        <f>IF(ISBLANK(D91),"-",$D$101/$D$98*D91)</f>
        <v>4961517.5298566241</v>
      </c>
      <c r="F91" s="53">
        <v>4821982</v>
      </c>
      <c r="G91" s="343">
        <f>IF(ISBLANK(F91),"-",$D$101/$F$98*F91)</f>
        <v>4896122.0172585398</v>
      </c>
      <c r="I91" s="344"/>
    </row>
    <row r="92" spans="1:12" ht="26.25" customHeight="1" x14ac:dyDescent="0.4">
      <c r="A92" s="333" t="s">
        <v>67</v>
      </c>
      <c r="B92" s="334">
        <v>1</v>
      </c>
      <c r="C92" s="363">
        <v>2</v>
      </c>
      <c r="D92" s="54">
        <v>4411647</v>
      </c>
      <c r="E92" s="347">
        <f>IF(ISBLANK(D92),"-",$D$101/$D$98*D92)</f>
        <v>4946277.2473446382</v>
      </c>
      <c r="F92" s="54">
        <v>4795768</v>
      </c>
      <c r="G92" s="348">
        <f>IF(ISBLANK(F92),"-",$D$101/$F$98*F92)</f>
        <v>4869504.9658965869</v>
      </c>
      <c r="I92" s="541">
        <f>ABS((F96/D96*D95)-F95)/D95</f>
        <v>1.4623497746163285E-2</v>
      </c>
    </row>
    <row r="93" spans="1:12" ht="26.25" customHeight="1" x14ac:dyDescent="0.4">
      <c r="A93" s="333" t="s">
        <v>68</v>
      </c>
      <c r="B93" s="334">
        <v>1</v>
      </c>
      <c r="C93" s="363">
        <v>3</v>
      </c>
      <c r="D93" s="54">
        <v>4388944</v>
      </c>
      <c r="E93" s="347">
        <f>IF(ISBLANK(D93),"-",$D$101/$D$98*D93)</f>
        <v>4920822.9595590411</v>
      </c>
      <c r="F93" s="54">
        <v>4792916</v>
      </c>
      <c r="G93" s="348">
        <f>IF(ISBLANK(F93),"-",$D$101/$F$98*F93)</f>
        <v>4866609.1151876412</v>
      </c>
      <c r="I93" s="541"/>
    </row>
    <row r="94" spans="1:12" ht="27" customHeight="1" thickBot="1" x14ac:dyDescent="0.45">
      <c r="A94" s="333" t="s">
        <v>69</v>
      </c>
      <c r="B94" s="334">
        <v>1</v>
      </c>
      <c r="C94" s="415">
        <v>4</v>
      </c>
      <c r="D94" s="350"/>
      <c r="E94" s="351" t="str">
        <f>IF(ISBLANK(D94),"-",$D$101/$D$98*D94)</f>
        <v>-</v>
      </c>
      <c r="F94" s="416"/>
      <c r="G94" s="352" t="str">
        <f>IF(ISBLANK(F94),"-",$D$101/$F$98*F94)</f>
        <v>-</v>
      </c>
      <c r="I94" s="353"/>
    </row>
    <row r="95" spans="1:12" ht="27" customHeight="1" thickBot="1" x14ac:dyDescent="0.45">
      <c r="A95" s="333" t="s">
        <v>70</v>
      </c>
      <c r="B95" s="334">
        <v>1</v>
      </c>
      <c r="C95" s="317" t="s">
        <v>71</v>
      </c>
      <c r="D95" s="417">
        <f>AVERAGE(D91:D94)</f>
        <v>4408610.333333333</v>
      </c>
      <c r="E95" s="356">
        <f>AVERAGE(E91:E94)</f>
        <v>4942872.5789201008</v>
      </c>
      <c r="F95" s="418">
        <f>AVERAGE(F91:F94)</f>
        <v>4803555.333333333</v>
      </c>
      <c r="G95" s="419">
        <f>AVERAGE(G91:G94)</f>
        <v>4877412.0327809229</v>
      </c>
    </row>
    <row r="96" spans="1:12" ht="26.25" customHeight="1" x14ac:dyDescent="0.4">
      <c r="A96" s="333" t="s">
        <v>72</v>
      </c>
      <c r="B96" s="318">
        <v>1</v>
      </c>
      <c r="C96" s="420" t="s">
        <v>113</v>
      </c>
      <c r="D96" s="421">
        <v>19.96</v>
      </c>
      <c r="E96" s="305"/>
      <c r="F96" s="360">
        <v>22.04</v>
      </c>
    </row>
    <row r="97" spans="1:10" ht="26.25" customHeight="1" x14ac:dyDescent="0.4">
      <c r="A97" s="333" t="s">
        <v>74</v>
      </c>
      <c r="B97" s="318">
        <v>1</v>
      </c>
      <c r="C97" s="422" t="s">
        <v>114</v>
      </c>
      <c r="D97" s="423">
        <f>D96*$B$87</f>
        <v>19.96</v>
      </c>
      <c r="E97" s="363"/>
      <c r="F97" s="362">
        <f>F96*$B$87</f>
        <v>22.04</v>
      </c>
    </row>
    <row r="98" spans="1:10" ht="19.5" customHeight="1" thickBot="1" x14ac:dyDescent="0.35">
      <c r="A98" s="333" t="s">
        <v>76</v>
      </c>
      <c r="B98" s="363">
        <f>(B97/B96)*(B95/B94)*(B93/B92)*(B91/B90)*B89</f>
        <v>625</v>
      </c>
      <c r="C98" s="422" t="s">
        <v>115</v>
      </c>
      <c r="D98" s="424">
        <f>D97*$B$83/100</f>
        <v>19.82028</v>
      </c>
      <c r="E98" s="365"/>
      <c r="F98" s="364">
        <f>F97*$B$83/100</f>
        <v>21.885719999999996</v>
      </c>
    </row>
    <row r="99" spans="1:10" ht="19.5" customHeight="1" thickBot="1" x14ac:dyDescent="0.35">
      <c r="A99" s="542" t="s">
        <v>78</v>
      </c>
      <c r="B99" s="556"/>
      <c r="C99" s="422" t="s">
        <v>116</v>
      </c>
      <c r="D99" s="425">
        <f>D98/$B$98</f>
        <v>3.1712447999999997E-2</v>
      </c>
      <c r="E99" s="365"/>
      <c r="F99" s="368">
        <f>F98/$B$98</f>
        <v>3.5017151999999996E-2</v>
      </c>
      <c r="H99" s="358"/>
    </row>
    <row r="100" spans="1:10" ht="19.5" customHeight="1" thickBot="1" x14ac:dyDescent="0.35">
      <c r="A100" s="544"/>
      <c r="B100" s="557"/>
      <c r="C100" s="422" t="s">
        <v>80</v>
      </c>
      <c r="D100" s="426">
        <f>$B$56/$B$116</f>
        <v>3.5555555555555556E-2</v>
      </c>
      <c r="F100" s="373"/>
      <c r="G100" s="427"/>
      <c r="H100" s="358"/>
    </row>
    <row r="101" spans="1:10" ht="18.75" x14ac:dyDescent="0.3">
      <c r="C101" s="422" t="s">
        <v>81</v>
      </c>
      <c r="D101" s="423">
        <f>D100*$B$98</f>
        <v>22.222222222222221</v>
      </c>
      <c r="F101" s="373"/>
      <c r="H101" s="358"/>
    </row>
    <row r="102" spans="1:10" ht="19.5" customHeight="1" thickBot="1" x14ac:dyDescent="0.35">
      <c r="C102" s="428" t="s">
        <v>82</v>
      </c>
      <c r="D102" s="429">
        <f>D101/B34</f>
        <v>22.222222222222221</v>
      </c>
      <c r="F102" s="377"/>
      <c r="H102" s="358"/>
      <c r="J102" s="430"/>
    </row>
    <row r="103" spans="1:10" ht="18.75" x14ac:dyDescent="0.3">
      <c r="C103" s="431" t="s">
        <v>117</v>
      </c>
      <c r="D103" s="432">
        <f>AVERAGE(E91:E94,G91:G94)</f>
        <v>4910142.3058505123</v>
      </c>
      <c r="F103" s="377"/>
      <c r="G103" s="427"/>
      <c r="H103" s="358"/>
      <c r="J103" s="433"/>
    </row>
    <row r="104" spans="1:10" ht="18.75" x14ac:dyDescent="0.3">
      <c r="C104" s="405" t="s">
        <v>84</v>
      </c>
      <c r="D104" s="434">
        <f>STDEV(E91:E94,G91:G94)/D103</f>
        <v>8.0451273928121882E-3</v>
      </c>
      <c r="F104" s="377"/>
      <c r="H104" s="358"/>
      <c r="J104" s="433"/>
    </row>
    <row r="105" spans="1:10" ht="19.5" customHeight="1" thickBot="1" x14ac:dyDescent="0.35">
      <c r="C105" s="407" t="s">
        <v>20</v>
      </c>
      <c r="D105" s="435">
        <f>COUNT(E91:E94,G91:G94)</f>
        <v>6</v>
      </c>
      <c r="F105" s="377"/>
      <c r="H105" s="358"/>
      <c r="J105" s="433"/>
    </row>
    <row r="106" spans="1:10" ht="19.5" customHeight="1" thickBot="1" x14ac:dyDescent="0.35">
      <c r="A106" s="381"/>
      <c r="B106" s="381"/>
      <c r="C106" s="381"/>
      <c r="D106" s="381"/>
      <c r="E106" s="381"/>
    </row>
    <row r="107" spans="1:10" ht="27" customHeight="1" thickBot="1" x14ac:dyDescent="0.45">
      <c r="A107" s="331" t="s">
        <v>118</v>
      </c>
      <c r="B107" s="332">
        <v>900</v>
      </c>
      <c r="C107" s="387" t="s">
        <v>119</v>
      </c>
      <c r="D107" s="387" t="s">
        <v>63</v>
      </c>
      <c r="E107" s="387" t="s">
        <v>120</v>
      </c>
      <c r="F107" s="436" t="s">
        <v>121</v>
      </c>
    </row>
    <row r="108" spans="1:10" ht="26.25" customHeight="1" x14ac:dyDescent="0.4">
      <c r="A108" s="333" t="s">
        <v>122</v>
      </c>
      <c r="B108" s="334">
        <v>4</v>
      </c>
      <c r="C108" s="388">
        <v>1</v>
      </c>
      <c r="D108" s="437">
        <v>4790675</v>
      </c>
      <c r="E108" s="438">
        <f t="shared" ref="E108:E113" si="1">IF(ISBLANK(D108),"-",D108/$D$103*$D$100*$B$116)</f>
        <v>156.10708453127589</v>
      </c>
      <c r="F108" s="439">
        <f t="shared" ref="F108:F113" si="2">IF(ISBLANK(D108), "-", (E108/$B$56)*100)</f>
        <v>97.56692783204744</v>
      </c>
    </row>
    <row r="109" spans="1:10" ht="26.25" customHeight="1" x14ac:dyDescent="0.4">
      <c r="A109" s="333" t="s">
        <v>95</v>
      </c>
      <c r="B109" s="334">
        <v>20</v>
      </c>
      <c r="C109" s="392">
        <v>2</v>
      </c>
      <c r="D109" s="440">
        <v>5045821</v>
      </c>
      <c r="E109" s="441">
        <f t="shared" si="1"/>
        <v>164.421173504086</v>
      </c>
      <c r="F109" s="442">
        <f t="shared" si="2"/>
        <v>102.76323344005375</v>
      </c>
    </row>
    <row r="110" spans="1:10" ht="26.25" customHeight="1" x14ac:dyDescent="0.4">
      <c r="A110" s="333" t="s">
        <v>96</v>
      </c>
      <c r="B110" s="334">
        <v>1</v>
      </c>
      <c r="C110" s="392">
        <v>3</v>
      </c>
      <c r="D110" s="440">
        <v>5040552</v>
      </c>
      <c r="E110" s="441">
        <f t="shared" si="1"/>
        <v>164.24947990591971</v>
      </c>
      <c r="F110" s="442">
        <f t="shared" si="2"/>
        <v>102.65592494119981</v>
      </c>
    </row>
    <row r="111" spans="1:10" ht="26.25" customHeight="1" x14ac:dyDescent="0.4">
      <c r="A111" s="333" t="s">
        <v>97</v>
      </c>
      <c r="B111" s="334">
        <v>1</v>
      </c>
      <c r="C111" s="392">
        <v>4</v>
      </c>
      <c r="D111" s="440">
        <v>4806508</v>
      </c>
      <c r="E111" s="441">
        <f t="shared" si="1"/>
        <v>156.62301255172892</v>
      </c>
      <c r="F111" s="442">
        <f t="shared" si="2"/>
        <v>97.889382844830578</v>
      </c>
    </row>
    <row r="112" spans="1:10" ht="26.25" customHeight="1" x14ac:dyDescent="0.4">
      <c r="A112" s="333" t="s">
        <v>98</v>
      </c>
      <c r="B112" s="334">
        <v>1</v>
      </c>
      <c r="C112" s="392">
        <v>5</v>
      </c>
      <c r="D112" s="440">
        <v>4800587</v>
      </c>
      <c r="E112" s="441">
        <f t="shared" si="1"/>
        <v>156.43007313348207</v>
      </c>
      <c r="F112" s="442">
        <f t="shared" si="2"/>
        <v>97.768795708426296</v>
      </c>
    </row>
    <row r="113" spans="1:10" ht="27" customHeight="1" thickBot="1" x14ac:dyDescent="0.45">
      <c r="A113" s="333" t="s">
        <v>100</v>
      </c>
      <c r="B113" s="334">
        <v>1</v>
      </c>
      <c r="C113" s="396">
        <v>6</v>
      </c>
      <c r="D113" s="443">
        <v>5083251</v>
      </c>
      <c r="E113" s="444">
        <f t="shared" si="1"/>
        <v>165.64085302190043</v>
      </c>
      <c r="F113" s="445">
        <f t="shared" si="2"/>
        <v>103.52553313868778</v>
      </c>
    </row>
    <row r="114" spans="1:10" ht="27" customHeight="1" thickBot="1" x14ac:dyDescent="0.45">
      <c r="A114" s="333" t="s">
        <v>101</v>
      </c>
      <c r="B114" s="334">
        <v>1</v>
      </c>
      <c r="C114" s="446"/>
      <c r="D114" s="363"/>
      <c r="E114" s="305"/>
      <c r="F114" s="442"/>
    </row>
    <row r="115" spans="1:10" ht="26.25" customHeight="1" x14ac:dyDescent="0.4">
      <c r="A115" s="333" t="s">
        <v>102</v>
      </c>
      <c r="B115" s="334">
        <v>1</v>
      </c>
      <c r="C115" s="446"/>
      <c r="D115" s="447" t="s">
        <v>71</v>
      </c>
      <c r="E115" s="448">
        <f>AVERAGE(E108:E113)</f>
        <v>160.57861277473216</v>
      </c>
      <c r="F115" s="449">
        <f>AVERAGE(F108:F113)</f>
        <v>100.36163298420762</v>
      </c>
    </row>
    <row r="116" spans="1:10" ht="27" customHeight="1" thickBot="1" x14ac:dyDescent="0.45">
      <c r="A116" s="333" t="s">
        <v>103</v>
      </c>
      <c r="B116" s="345">
        <f>(B115/B114)*(B113/B112)*(B111/B110)*(B109/B108)*B107</f>
        <v>4500</v>
      </c>
      <c r="C116" s="450"/>
      <c r="D116" s="451" t="s">
        <v>84</v>
      </c>
      <c r="E116" s="406">
        <f>STDEV(E108:E113)/E115</f>
        <v>2.8770487522744845E-2</v>
      </c>
      <c r="F116" s="452">
        <f>STDEV(F108:F113)/F115</f>
        <v>2.8770487522744824E-2</v>
      </c>
      <c r="I116" s="305"/>
    </row>
    <row r="117" spans="1:10" ht="27" customHeight="1" thickBot="1" x14ac:dyDescent="0.45">
      <c r="A117" s="542" t="s">
        <v>78</v>
      </c>
      <c r="B117" s="543"/>
      <c r="C117" s="453"/>
      <c r="D117" s="407" t="s">
        <v>20</v>
      </c>
      <c r="E117" s="454">
        <f>COUNT(E108:E113)</f>
        <v>6</v>
      </c>
      <c r="F117" s="455">
        <f>COUNT(F108:F113)</f>
        <v>6</v>
      </c>
      <c r="I117" s="305"/>
      <c r="J117" s="433"/>
    </row>
    <row r="118" spans="1:10" ht="26.25" customHeight="1" thickBot="1" x14ac:dyDescent="0.35">
      <c r="A118" s="544"/>
      <c r="B118" s="545"/>
      <c r="C118" s="305"/>
      <c r="D118" s="456"/>
      <c r="E118" s="558" t="s">
        <v>123</v>
      </c>
      <c r="F118" s="559"/>
      <c r="G118" s="305"/>
      <c r="H118" s="305"/>
      <c r="I118" s="305"/>
    </row>
    <row r="119" spans="1:10" ht="25.5" customHeight="1" x14ac:dyDescent="0.4">
      <c r="A119" s="457"/>
      <c r="B119" s="329"/>
      <c r="C119" s="305"/>
      <c r="D119" s="451" t="s">
        <v>124</v>
      </c>
      <c r="E119" s="458">
        <f>MIN(E108:E113)</f>
        <v>156.10708453127589</v>
      </c>
      <c r="F119" s="459">
        <f>MIN(F108:F113)</f>
        <v>97.56692783204744</v>
      </c>
      <c r="G119" s="305"/>
      <c r="H119" s="305"/>
      <c r="I119" s="305"/>
    </row>
    <row r="120" spans="1:10" ht="24" customHeight="1" thickBot="1" x14ac:dyDescent="0.45">
      <c r="A120" s="457"/>
      <c r="B120" s="329"/>
      <c r="C120" s="305"/>
      <c r="D120" s="374" t="s">
        <v>125</v>
      </c>
      <c r="E120" s="460">
        <f>MAX(E108:E113)</f>
        <v>165.64085302190043</v>
      </c>
      <c r="F120" s="461">
        <f>MAX(F108:F113)</f>
        <v>103.52553313868778</v>
      </c>
      <c r="G120" s="305"/>
      <c r="H120" s="305"/>
      <c r="I120" s="305"/>
    </row>
    <row r="121" spans="1:10" ht="27" customHeight="1" x14ac:dyDescent="0.3">
      <c r="A121" s="457"/>
      <c r="B121" s="329"/>
      <c r="C121" s="305"/>
      <c r="D121" s="305"/>
      <c r="E121" s="305"/>
      <c r="F121" s="363"/>
      <c r="G121" s="305"/>
      <c r="H121" s="305"/>
      <c r="I121" s="305"/>
    </row>
    <row r="122" spans="1:10" ht="25.5" customHeight="1" x14ac:dyDescent="0.3">
      <c r="A122" s="457"/>
      <c r="B122" s="329"/>
      <c r="C122" s="305"/>
      <c r="D122" s="305"/>
      <c r="E122" s="305"/>
      <c r="F122" s="363"/>
      <c r="G122" s="305"/>
      <c r="H122" s="305"/>
      <c r="I122" s="305"/>
    </row>
    <row r="123" spans="1:10" ht="18.75" x14ac:dyDescent="0.3">
      <c r="A123" s="457"/>
      <c r="B123" s="329"/>
      <c r="C123" s="305"/>
      <c r="D123" s="305"/>
      <c r="E123" s="305"/>
      <c r="F123" s="363"/>
      <c r="G123" s="305"/>
      <c r="H123" s="305"/>
      <c r="I123" s="305"/>
    </row>
    <row r="124" spans="1:10" ht="45.75" customHeight="1" x14ac:dyDescent="0.65">
      <c r="A124" s="316" t="s">
        <v>106</v>
      </c>
      <c r="B124" s="317" t="s">
        <v>126</v>
      </c>
      <c r="C124" s="537" t="str">
        <f>B26</f>
        <v>TRIMETHOPRIM</v>
      </c>
      <c r="D124" s="537"/>
      <c r="E124" s="305" t="s">
        <v>127</v>
      </c>
      <c r="F124" s="305"/>
      <c r="G124" s="462">
        <f>F115</f>
        <v>100.36163298420762</v>
      </c>
      <c r="H124" s="305"/>
      <c r="I124" s="305"/>
    </row>
    <row r="125" spans="1:10" ht="45.75" customHeight="1" x14ac:dyDescent="0.65">
      <c r="A125" s="316"/>
      <c r="B125" s="317" t="s">
        <v>128</v>
      </c>
      <c r="C125" s="317" t="s">
        <v>129</v>
      </c>
      <c r="D125" s="462">
        <f>MIN(F108:F113)</f>
        <v>97.56692783204744</v>
      </c>
      <c r="E125" s="317" t="s">
        <v>130</v>
      </c>
      <c r="F125" s="462">
        <f>MAX(F108:F113)</f>
        <v>103.52553313868778</v>
      </c>
      <c r="G125" s="409"/>
      <c r="H125" s="305"/>
      <c r="I125" s="305"/>
    </row>
    <row r="126" spans="1:10" ht="19.5" customHeight="1" thickBot="1" x14ac:dyDescent="0.35">
      <c r="A126" s="463"/>
      <c r="B126" s="463"/>
      <c r="C126" s="464"/>
      <c r="D126" s="464"/>
      <c r="E126" s="464"/>
      <c r="F126" s="464"/>
      <c r="G126" s="464"/>
      <c r="H126" s="464"/>
    </row>
    <row r="127" spans="1:10" ht="18.75" x14ac:dyDescent="0.3">
      <c r="B127" s="554" t="s">
        <v>26</v>
      </c>
      <c r="C127" s="554"/>
      <c r="E127" s="412" t="s">
        <v>27</v>
      </c>
      <c r="F127" s="465"/>
      <c r="G127" s="554" t="s">
        <v>28</v>
      </c>
      <c r="H127" s="554"/>
    </row>
    <row r="128" spans="1:10" ht="69.95" customHeight="1" x14ac:dyDescent="0.3">
      <c r="A128" s="316" t="s">
        <v>29</v>
      </c>
      <c r="B128" s="466"/>
      <c r="C128" s="466"/>
      <c r="E128" s="466"/>
      <c r="F128" s="305"/>
      <c r="G128" s="466"/>
      <c r="H128" s="466"/>
    </row>
    <row r="129" spans="1:9" ht="69.95" customHeight="1" x14ac:dyDescent="0.3">
      <c r="A129" s="316" t="s">
        <v>30</v>
      </c>
      <c r="B129" s="467"/>
      <c r="C129" s="467"/>
      <c r="E129" s="467"/>
      <c r="F129" s="305"/>
      <c r="G129" s="468"/>
      <c r="H129" s="468"/>
    </row>
    <row r="130" spans="1:9" ht="18.75" x14ac:dyDescent="0.3">
      <c r="A130" s="363"/>
      <c r="B130" s="363"/>
      <c r="C130" s="363"/>
      <c r="D130" s="363"/>
      <c r="E130" s="363"/>
      <c r="F130" s="365"/>
      <c r="G130" s="363"/>
      <c r="H130" s="363"/>
      <c r="I130" s="305"/>
    </row>
    <row r="131" spans="1:9" ht="18.75" x14ac:dyDescent="0.3">
      <c r="A131" s="363"/>
      <c r="B131" s="363"/>
      <c r="C131" s="363"/>
      <c r="D131" s="363"/>
      <c r="E131" s="363"/>
      <c r="F131" s="365"/>
      <c r="G131" s="363"/>
      <c r="H131" s="363"/>
      <c r="I131" s="305"/>
    </row>
    <row r="132" spans="1:9" ht="18.75" x14ac:dyDescent="0.3">
      <c r="A132" s="363"/>
      <c r="B132" s="363"/>
      <c r="C132" s="363"/>
      <c r="D132" s="363"/>
      <c r="E132" s="363"/>
      <c r="F132" s="365"/>
      <c r="G132" s="363"/>
      <c r="H132" s="363"/>
      <c r="I132" s="305"/>
    </row>
    <row r="133" spans="1:9" ht="18.75" x14ac:dyDescent="0.3">
      <c r="A133" s="363"/>
      <c r="B133" s="363"/>
      <c r="C133" s="363"/>
      <c r="D133" s="363"/>
      <c r="E133" s="363"/>
      <c r="F133" s="365"/>
      <c r="G133" s="363"/>
      <c r="H133" s="363"/>
      <c r="I133" s="305"/>
    </row>
    <row r="134" spans="1:9" ht="18.75" x14ac:dyDescent="0.3">
      <c r="A134" s="363"/>
      <c r="B134" s="363"/>
      <c r="C134" s="363"/>
      <c r="D134" s="363"/>
      <c r="E134" s="363"/>
      <c r="F134" s="365"/>
      <c r="G134" s="363"/>
      <c r="H134" s="363"/>
      <c r="I134" s="305"/>
    </row>
    <row r="135" spans="1:9" ht="18.75" x14ac:dyDescent="0.3">
      <c r="A135" s="363"/>
      <c r="B135" s="363"/>
      <c r="C135" s="363"/>
      <c r="D135" s="363"/>
      <c r="E135" s="363"/>
      <c r="F135" s="365"/>
      <c r="G135" s="363"/>
      <c r="H135" s="363"/>
      <c r="I135" s="305"/>
    </row>
    <row r="136" spans="1:9" ht="18.75" x14ac:dyDescent="0.3">
      <c r="A136" s="363"/>
      <c r="B136" s="363"/>
      <c r="C136" s="363"/>
      <c r="D136" s="363"/>
      <c r="E136" s="363"/>
      <c r="F136" s="365"/>
      <c r="G136" s="363"/>
      <c r="H136" s="363"/>
      <c r="I136" s="305"/>
    </row>
    <row r="137" spans="1:9" ht="18.75" x14ac:dyDescent="0.3">
      <c r="A137" s="363"/>
      <c r="B137" s="363"/>
      <c r="C137" s="363"/>
      <c r="D137" s="363"/>
      <c r="E137" s="363"/>
      <c r="F137" s="365"/>
      <c r="G137" s="363"/>
      <c r="H137" s="363"/>
      <c r="I137" s="305"/>
    </row>
    <row r="138" spans="1:9" ht="18.75" x14ac:dyDescent="0.3">
      <c r="A138" s="363"/>
      <c r="B138" s="363"/>
      <c r="C138" s="363"/>
      <c r="D138" s="363"/>
      <c r="E138" s="363"/>
      <c r="F138" s="365"/>
      <c r="G138" s="363"/>
      <c r="H138" s="363"/>
      <c r="I138" s="305"/>
    </row>
    <row r="250" spans="1:1" x14ac:dyDescent="0.25">
      <c r="A250" s="30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trim</vt:lpstr>
      <vt:lpstr>Uniformity</vt:lpstr>
      <vt:lpstr>SULFAMETHOXAZOLE (2)</vt:lpstr>
      <vt:lpstr>TRIMETHOPRIM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2017-04-05T08:01:03Z</dcterms:modified>
</cp:coreProperties>
</file>