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2"/>
  </bookViews>
  <sheets>
    <sheet name="SST" sheetId="1" r:id="rId1"/>
    <sheet name="Uniformity" sheetId="2" r:id="rId2"/>
    <sheet name="Zidovudine" sheetId="3" r:id="rId3"/>
  </sheets>
  <definedNames>
    <definedName name="_xlnm.Print_Area" localSheetId="1">Uniformity!$A$1:$F$54</definedName>
    <definedName name="_xlnm.Print_Area" localSheetId="2">Zidovudine!$A$1:$H$129</definedName>
  </definedNames>
  <calcPr calcId="145621"/>
</workbook>
</file>

<file path=xl/calcChain.xml><?xml version="1.0" encoding="utf-8"?>
<calcChain xmlns="http://schemas.openxmlformats.org/spreadsheetml/2006/main">
  <c r="B43" i="1" l="1"/>
  <c r="B21" i="1"/>
  <c r="C124" i="3" l="1"/>
  <c r="B116" i="3"/>
  <c r="D100" i="3" s="1"/>
  <c r="D101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B30" i="3"/>
  <c r="D50" i="2"/>
  <c r="B49" i="2"/>
  <c r="C46" i="2"/>
  <c r="B57" i="3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B52" i="1"/>
  <c r="B32" i="1"/>
  <c r="E30" i="1"/>
  <c r="D30" i="1"/>
  <c r="C30" i="1"/>
  <c r="B30" i="1"/>
  <c r="B31" i="1" s="1"/>
  <c r="I92" i="3" l="1"/>
  <c r="D102" i="3"/>
  <c r="F97" i="3"/>
  <c r="F98" i="3" s="1"/>
  <c r="G93" i="3" s="1"/>
  <c r="I39" i="3"/>
  <c r="F44" i="3"/>
  <c r="F45" i="3"/>
  <c r="F46" i="3" s="1"/>
  <c r="D44" i="3"/>
  <c r="D45" i="3" s="1"/>
  <c r="D49" i="3"/>
  <c r="D98" i="3"/>
  <c r="D99" i="3" s="1"/>
  <c r="E94" i="3"/>
  <c r="E93" i="3"/>
  <c r="B69" i="3"/>
  <c r="C50" i="2"/>
  <c r="D27" i="2"/>
  <c r="D35" i="2"/>
  <c r="D43" i="2"/>
  <c r="C49" i="2"/>
  <c r="D31" i="2"/>
  <c r="D39" i="2"/>
  <c r="D24" i="2"/>
  <c r="D28" i="2"/>
  <c r="D32" i="2"/>
  <c r="D36" i="2"/>
  <c r="D40" i="2"/>
  <c r="D49" i="2"/>
  <c r="E92" i="3" l="1"/>
  <c r="E91" i="3"/>
  <c r="G94" i="3"/>
  <c r="G92" i="3"/>
  <c r="G40" i="3"/>
  <c r="E38" i="3"/>
  <c r="E39" i="3"/>
  <c r="G38" i="3"/>
  <c r="G41" i="3"/>
  <c r="E41" i="3"/>
  <c r="G39" i="3"/>
  <c r="E40" i="3"/>
  <c r="D46" i="3"/>
  <c r="F99" i="3"/>
  <c r="G91" i="3"/>
  <c r="E95" i="3" l="1"/>
  <c r="G95" i="3"/>
  <c r="D103" i="3"/>
  <c r="E111" i="3" s="1"/>
  <c r="F111" i="3" s="1"/>
  <c r="E42" i="3"/>
  <c r="D52" i="3"/>
  <c r="D50" i="3"/>
  <c r="D51" i="3" s="1"/>
  <c r="G42" i="3"/>
  <c r="D105" i="3"/>
  <c r="D104" i="3" l="1"/>
  <c r="E109" i="3"/>
  <c r="F109" i="3" s="1"/>
  <c r="E108" i="3"/>
  <c r="E113" i="3"/>
  <c r="F113" i="3" s="1"/>
  <c r="E112" i="3"/>
  <c r="F112" i="3" s="1"/>
  <c r="E110" i="3"/>
  <c r="F110" i="3" s="1"/>
  <c r="G71" i="3"/>
  <c r="H71" i="3" s="1"/>
  <c r="G63" i="3"/>
  <c r="H63" i="3" s="1"/>
  <c r="G66" i="3"/>
  <c r="H66" i="3" s="1"/>
  <c r="G67" i="3"/>
  <c r="H67" i="3" s="1"/>
  <c r="G62" i="3"/>
  <c r="H62" i="3" s="1"/>
  <c r="G68" i="3"/>
  <c r="H68" i="3" s="1"/>
  <c r="G70" i="3"/>
  <c r="H70" i="3" s="1"/>
  <c r="G64" i="3"/>
  <c r="H64" i="3" s="1"/>
  <c r="G61" i="3"/>
  <c r="H61" i="3" s="1"/>
  <c r="G60" i="3"/>
  <c r="H60" i="3" s="1"/>
  <c r="G69" i="3"/>
  <c r="H69" i="3" s="1"/>
  <c r="G65" i="3"/>
  <c r="H65" i="3" s="1"/>
  <c r="E119" i="3" l="1"/>
  <c r="E120" i="3"/>
  <c r="E117" i="3"/>
  <c r="E115" i="3"/>
  <c r="E116" i="3" s="1"/>
  <c r="F108" i="3"/>
  <c r="D125" i="3" s="1"/>
  <c r="G72" i="3"/>
  <c r="G73" i="3" s="1"/>
  <c r="G74" i="3"/>
  <c r="H74" i="3"/>
  <c r="H72" i="3"/>
  <c r="F117" i="3" l="1"/>
  <c r="F119" i="3"/>
  <c r="F120" i="3"/>
  <c r="F115" i="3"/>
  <c r="G124" i="3" s="1"/>
  <c r="F125" i="3"/>
  <c r="G76" i="3"/>
  <c r="H73" i="3"/>
  <c r="F116" i="3" l="1"/>
</calcChain>
</file>

<file path=xl/sharedStrings.xml><?xml version="1.0" encoding="utf-8"?>
<sst xmlns="http://schemas.openxmlformats.org/spreadsheetml/2006/main" count="241" uniqueCount="134">
  <si>
    <t>HPLC System Suitability Report</t>
  </si>
  <si>
    <t>Analysis Data</t>
  </si>
  <si>
    <t>Assay</t>
  </si>
  <si>
    <t>Sample(s)</t>
  </si>
  <si>
    <t>Reference Substance:</t>
  </si>
  <si>
    <t>ZIDOVUDINE TABLETS</t>
  </si>
  <si>
    <t>% age Purity:</t>
  </si>
  <si>
    <t>NDQB201704369</t>
  </si>
  <si>
    <t>Weight (mg):</t>
  </si>
  <si>
    <t>ZIDOVUDINE 300 mg</t>
  </si>
  <si>
    <t>Standard Conc (mg/mL):</t>
  </si>
  <si>
    <t>ZIDOVIDINE 300 mg</t>
  </si>
  <si>
    <t>2017-04-04 13:15:40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</si>
  <si>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</si>
  <si>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</si>
  <si>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</si>
  <si>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</si>
  <si>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</si>
  <si>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</si>
  <si>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</si>
  <si>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</si>
  <si>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</si>
  <si>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</si>
  <si>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</si>
  <si>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</si>
  <si>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</si>
  <si>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</si>
  <si>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</si>
  <si>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</si>
  <si>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</si>
  <si>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</si>
  <si>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</si>
  <si>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</si>
  <si>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</si>
  <si>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</si>
  <si>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</si>
  <si>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</si>
  <si>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</si>
  <si>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</si>
  <si>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</si>
  <si>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</si>
  <si>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</si>
  <si>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</si>
  <si>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</si>
  <si>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</si>
  <si>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</si>
  <si>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</si>
  <si>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</si>
  <si>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</si>
  <si>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</si>
  <si>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</si>
  <si>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</si>
  <si>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</si>
  <si>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</si>
  <si>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</si>
  <si>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</si>
  <si>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</si>
  <si>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</si>
  <si>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</si>
  <si>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</si>
  <si>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</si>
  <si>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</si>
  <si>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</si>
  <si>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</si>
  <si>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</si>
  <si>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</si>
  <si>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</si>
  <si>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</si>
  <si>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</si>
  <si>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</si>
  <si>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</si>
  <si>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</si>
  <si>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</si>
  <si>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</si>
  <si>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</si>
  <si>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</si>
  <si>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</si>
  <si>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</si>
  <si>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</si>
  <si>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</si>
  <si>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</si>
  <si>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</si>
  <si>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</si>
  <si>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</si>
  <si>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</si>
  <si>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</si>
  <si>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</si>
  <si>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</si>
  <si>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</si>
  <si>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</si>
  <si>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</si>
  <si>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</si>
  <si>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</si>
  <si>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</si>
  <si>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</si>
  <si>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</si>
  <si>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</si>
  <si>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</si>
  <si>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</si>
  <si>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</si>
  <si>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</si>
  <si>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</si>
  <si>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</si>
  <si>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</si>
  <si>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</si>
  <si>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</si>
  <si>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</si>
  <si>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</si>
  <si>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</si>
  <si>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</si>
  <si>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</si>
  <si>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</si>
  <si>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</si>
  <si>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</si>
  <si>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</si>
  <si>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</si>
  <si>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</si>
  <si>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</si>
  <si>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</si>
  <si>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</si>
  <si>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</si>
  <si>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</si>
  <si>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</si>
  <si>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</si>
  <si>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</si>
  <si>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</si>
  <si>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</si>
  <si>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</si>
  <si>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</si>
  <si>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</si>
  <si>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</si>
  <si>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</si>
  <si>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Z1-1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</si>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</sst>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2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15.69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</f>
        <v>0.15689999999999998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31390804</v>
      </c>
      <c r="C24" s="18">
        <v>7883.7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31917054</v>
      </c>
      <c r="C25" s="18">
        <v>7922.5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31890029</v>
      </c>
      <c r="C26" s="18">
        <v>7902.6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31903509</v>
      </c>
      <c r="C27" s="18">
        <v>7980.4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31950581</v>
      </c>
      <c r="C28" s="18">
        <v>7973.4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31897959</v>
      </c>
      <c r="C29" s="21">
        <v>7942.8</v>
      </c>
      <c r="D29" s="22">
        <v>1.1000000000000001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31824989.333333332</v>
      </c>
      <c r="C30" s="25">
        <f>AVERAGE(C24:C29)</f>
        <v>7934.2333333333345</v>
      </c>
      <c r="D30" s="26">
        <f>AVERAGE(D24:D29)</f>
        <v>1.0999999999999999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6.7170203370918082E-3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133</v>
      </c>
      <c r="C40" s="10"/>
      <c r="D40" s="10"/>
      <c r="E40" s="10"/>
    </row>
    <row r="41" spans="1:6" ht="16.5" customHeight="1" x14ac:dyDescent="0.3">
      <c r="A41" s="7" t="s">
        <v>8</v>
      </c>
      <c r="B41" s="12">
        <v>99</v>
      </c>
      <c r="C41" s="10"/>
      <c r="D41" s="10"/>
      <c r="E41" s="10"/>
    </row>
    <row r="42" spans="1:6" ht="16.5" customHeight="1" x14ac:dyDescent="0.3">
      <c r="A42" s="7" t="s">
        <v>10</v>
      </c>
      <c r="B42" s="13">
        <v>15.69</v>
      </c>
      <c r="C42" s="10"/>
      <c r="D42" s="10"/>
      <c r="E42" s="10"/>
    </row>
    <row r="43" spans="1:6" ht="15.75" customHeight="1" x14ac:dyDescent="0.25">
      <c r="A43" s="10"/>
      <c r="B43" s="10">
        <f>B42/50</f>
        <v>0.31379999999999997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31390804</v>
      </c>
      <c r="C45" s="18">
        <v>7883.7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31917054</v>
      </c>
      <c r="C46" s="18">
        <v>7922.5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31890029</v>
      </c>
      <c r="C47" s="18">
        <v>7902.6</v>
      </c>
      <c r="D47" s="19">
        <v>1.1000000000000001</v>
      </c>
      <c r="E47" s="19">
        <v>4.5999999999999996</v>
      </c>
    </row>
    <row r="48" spans="1:6" ht="16.5" customHeight="1" x14ac:dyDescent="0.3">
      <c r="A48" s="17">
        <v>4</v>
      </c>
      <c r="B48" s="18">
        <v>31903509</v>
      </c>
      <c r="C48" s="18">
        <v>7980.4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31950581</v>
      </c>
      <c r="C49" s="18">
        <v>7973.4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31897959</v>
      </c>
      <c r="C50" s="21">
        <v>7942.8</v>
      </c>
      <c r="D50" s="22">
        <v>1.1000000000000001</v>
      </c>
      <c r="E50" s="22">
        <v>4.5999999999999996</v>
      </c>
    </row>
    <row r="51" spans="1:7" ht="16.5" customHeight="1" x14ac:dyDescent="0.3">
      <c r="A51" s="23" t="s">
        <v>18</v>
      </c>
      <c r="B51" s="24">
        <v>31824989.333333332</v>
      </c>
      <c r="C51" s="25">
        <v>7934.2333333333345</v>
      </c>
      <c r="D51" s="26">
        <v>1.0999999999999999</v>
      </c>
      <c r="E51" s="26">
        <v>4.6000000000000005</v>
      </c>
    </row>
    <row r="52" spans="1:7" ht="16.5" customHeight="1" x14ac:dyDescent="0.3">
      <c r="A52" s="27" t="s">
        <v>19</v>
      </c>
      <c r="B52" s="28">
        <f>(STDEV(B45:B50)/B51)</f>
        <v>6.7170203370918082E-3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361.78</v>
      </c>
      <c r="D24" s="87">
        <f t="shared" ref="D24:D43" si="0">(C24-$C$46)/$C$46</f>
        <v>-6.0083287868018301E-4</v>
      </c>
      <c r="E24" s="53"/>
    </row>
    <row r="25" spans="1:5" ht="15.75" customHeight="1" x14ac:dyDescent="0.3">
      <c r="C25" s="95">
        <v>365.95</v>
      </c>
      <c r="D25" s="88">
        <f t="shared" si="0"/>
        <v>1.0918583691876288E-2</v>
      </c>
      <c r="E25" s="53"/>
    </row>
    <row r="26" spans="1:5" ht="15.75" customHeight="1" x14ac:dyDescent="0.3">
      <c r="C26" s="95">
        <v>361.64</v>
      </c>
      <c r="D26" s="88">
        <f t="shared" si="0"/>
        <v>-9.8757588104894634E-4</v>
      </c>
      <c r="E26" s="53"/>
    </row>
    <row r="27" spans="1:5" ht="15.75" customHeight="1" x14ac:dyDescent="0.3">
      <c r="C27" s="95">
        <v>356.21</v>
      </c>
      <c r="D27" s="88">
        <f t="shared" si="0"/>
        <v>-1.59876794729246E-2</v>
      </c>
      <c r="E27" s="53"/>
    </row>
    <row r="28" spans="1:5" ht="15.75" customHeight="1" x14ac:dyDescent="0.3">
      <c r="C28" s="95">
        <v>363.82</v>
      </c>
      <c r="D28" s="88">
        <f t="shared" si="0"/>
        <v>5.0345651558366868E-3</v>
      </c>
      <c r="E28" s="53"/>
    </row>
    <row r="29" spans="1:5" ht="15.75" customHeight="1" x14ac:dyDescent="0.3">
      <c r="C29" s="95">
        <v>361.96</v>
      </c>
      <c r="D29" s="88">
        <f t="shared" si="0"/>
        <v>-1.0359187563456305E-4</v>
      </c>
      <c r="E29" s="53"/>
    </row>
    <row r="30" spans="1:5" ht="15.75" customHeight="1" x14ac:dyDescent="0.3">
      <c r="C30" s="95">
        <v>367.16</v>
      </c>
      <c r="D30" s="88">
        <f t="shared" si="0"/>
        <v>1.4261148212349596E-2</v>
      </c>
      <c r="E30" s="53"/>
    </row>
    <row r="31" spans="1:5" ht="15.75" customHeight="1" x14ac:dyDescent="0.3">
      <c r="C31" s="95">
        <v>365.27</v>
      </c>
      <c r="D31" s="88">
        <f t="shared" si="0"/>
        <v>9.0401176803706646E-3</v>
      </c>
      <c r="E31" s="53"/>
    </row>
    <row r="32" spans="1:5" ht="15.75" customHeight="1" x14ac:dyDescent="0.3">
      <c r="C32" s="95">
        <v>362.74</v>
      </c>
      <c r="D32" s="88">
        <f t="shared" si="0"/>
        <v>2.0511191375631233E-3</v>
      </c>
      <c r="E32" s="53"/>
    </row>
    <row r="33" spans="1:7" ht="15.75" customHeight="1" x14ac:dyDescent="0.3">
      <c r="C33" s="95">
        <v>361.67</v>
      </c>
      <c r="D33" s="88">
        <f t="shared" si="0"/>
        <v>-9.0470238054126437E-4</v>
      </c>
      <c r="E33" s="53"/>
    </row>
    <row r="34" spans="1:7" ht="15.75" customHeight="1" x14ac:dyDescent="0.3">
      <c r="C34" s="95">
        <v>359.36</v>
      </c>
      <c r="D34" s="88">
        <f t="shared" si="0"/>
        <v>-7.2859619196264857E-3</v>
      </c>
      <c r="E34" s="53"/>
    </row>
    <row r="35" spans="1:7" ht="15.75" customHeight="1" x14ac:dyDescent="0.3">
      <c r="C35" s="95">
        <v>356.52</v>
      </c>
      <c r="D35" s="88">
        <f t="shared" si="0"/>
        <v>-1.513131996767939E-2</v>
      </c>
      <c r="E35" s="53"/>
    </row>
    <row r="36" spans="1:7" ht="15.75" customHeight="1" x14ac:dyDescent="0.3">
      <c r="C36" s="95">
        <v>359.49</v>
      </c>
      <c r="D36" s="88">
        <f t="shared" si="0"/>
        <v>-6.9268434174268971E-3</v>
      </c>
      <c r="E36" s="53"/>
    </row>
    <row r="37" spans="1:7" ht="15.75" customHeight="1" x14ac:dyDescent="0.3">
      <c r="C37" s="95">
        <v>366.95</v>
      </c>
      <c r="D37" s="88">
        <f t="shared" si="0"/>
        <v>1.3681033708796293E-2</v>
      </c>
      <c r="E37" s="53"/>
    </row>
    <row r="38" spans="1:7" ht="15.75" customHeight="1" x14ac:dyDescent="0.3">
      <c r="C38" s="95">
        <v>355.05</v>
      </c>
      <c r="D38" s="88">
        <f t="shared" si="0"/>
        <v>-1.9192121492551718E-2</v>
      </c>
      <c r="E38" s="53"/>
    </row>
    <row r="39" spans="1:7" ht="15.75" customHeight="1" x14ac:dyDescent="0.3">
      <c r="C39" s="95">
        <v>362</v>
      </c>
      <c r="D39" s="88">
        <f t="shared" si="0"/>
        <v>6.9061250422937348E-6</v>
      </c>
      <c r="E39" s="53"/>
    </row>
    <row r="40" spans="1:7" ht="15.75" customHeight="1" x14ac:dyDescent="0.3">
      <c r="C40" s="95">
        <v>360.31</v>
      </c>
      <c r="D40" s="88">
        <f t="shared" si="0"/>
        <v>-4.6616344035525104E-3</v>
      </c>
      <c r="E40" s="53"/>
    </row>
    <row r="41" spans="1:7" ht="15.75" customHeight="1" x14ac:dyDescent="0.3">
      <c r="C41" s="95">
        <v>365.22</v>
      </c>
      <c r="D41" s="88">
        <f t="shared" si="0"/>
        <v>8.9019951795247902E-3</v>
      </c>
      <c r="E41" s="53"/>
    </row>
    <row r="42" spans="1:7" ht="15.75" customHeight="1" x14ac:dyDescent="0.3">
      <c r="C42" s="95">
        <v>362.19</v>
      </c>
      <c r="D42" s="88">
        <f t="shared" si="0"/>
        <v>5.3177162825708861E-4</v>
      </c>
      <c r="E42" s="53"/>
    </row>
    <row r="43" spans="1:7" ht="16.5" customHeight="1" x14ac:dyDescent="0.3">
      <c r="C43" s="96">
        <v>364.66</v>
      </c>
      <c r="D43" s="89">
        <f t="shared" si="0"/>
        <v>7.3550231700495799E-3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7239.95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361.9975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361.9975</v>
      </c>
      <c r="C49" s="93">
        <f>-IF(C46&lt;=80,10%,IF(C46&lt;250,7.5%,5%))</f>
        <v>-0.05</v>
      </c>
      <c r="D49" s="81">
        <f>IF(C46&lt;=80,C46*0.9,IF(C46&lt;250,C46*0.925,C46*0.95))</f>
        <v>343.89762500000001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380.097375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0" zoomScale="55" zoomScaleNormal="40" zoomScaleSheetLayoutView="55" zoomScalePageLayoutView="46" workbookViewId="0">
      <selection activeCell="C124" sqref="C124:D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99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31779392</v>
      </c>
      <c r="E38" s="133">
        <f>IF(ISBLANK(D38),"-",$D$48/$D$45*D38)</f>
        <v>30688715.066535335</v>
      </c>
      <c r="F38" s="132">
        <v>40950635</v>
      </c>
      <c r="G38" s="134">
        <f>IF(ISBLANK(F38),"-",$D$48/$F$45*F38)</f>
        <v>30489639.639639638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31645883</v>
      </c>
      <c r="E39" s="138">
        <f>IF(ISBLANK(D39),"-",$D$48/$D$45*D39)</f>
        <v>30559788.129864614</v>
      </c>
      <c r="F39" s="137">
        <v>40780886</v>
      </c>
      <c r="G39" s="139">
        <f>IF(ISBLANK(F39),"-",$D$48/$F$45*F39)</f>
        <v>30363253.666890033</v>
      </c>
      <c r="I39" s="314">
        <f>ABS((F43/D43*D42)-F42)/D42</f>
        <v>1.1803899315163636E-2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31703703</v>
      </c>
      <c r="E40" s="138">
        <f>IF(ISBLANK(D40),"-",$D$48/$D$45*D40)</f>
        <v>30615623.732545339</v>
      </c>
      <c r="F40" s="137">
        <v>40528295</v>
      </c>
      <c r="G40" s="139">
        <f>IF(ISBLANK(F40),"-",$D$48/$F$45*F40)</f>
        <v>30175187.997915272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31709659.333333332</v>
      </c>
      <c r="E42" s="148">
        <f>AVERAGE(E38:E41)</f>
        <v>30621375.642981764</v>
      </c>
      <c r="F42" s="147">
        <f>AVERAGE(F38:F41)</f>
        <v>40753272</v>
      </c>
      <c r="G42" s="149">
        <f>AVERAGE(G38:G41)</f>
        <v>30342693.768148314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15.69</v>
      </c>
      <c r="E43" s="140"/>
      <c r="F43" s="152">
        <v>20.350000000000001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15.69</v>
      </c>
      <c r="E44" s="155"/>
      <c r="F44" s="154">
        <f>F43*$B$34</f>
        <v>20.350000000000001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15.533099999999999</v>
      </c>
      <c r="E45" s="158"/>
      <c r="F45" s="157">
        <f>F44*$B$30/100</f>
        <v>20.1465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0.155331</v>
      </c>
      <c r="E46" s="160"/>
      <c r="F46" s="161">
        <f>F45/$B$45</f>
        <v>0.20146500000000001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30482034.705565035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6.1362532584959264E-3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ZIDOVIDINE 300 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ZIDOVUDINE 300 mg</v>
      </c>
      <c r="H56" s="179"/>
    </row>
    <row r="57" spans="1:12" ht="18.75" x14ac:dyDescent="0.3">
      <c r="A57" s="176" t="s">
        <v>88</v>
      </c>
      <c r="B57" s="247">
        <f>Uniformity!C46</f>
        <v>361.9975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9" t="s">
        <v>94</v>
      </c>
      <c r="D60" s="322">
        <v>361.81</v>
      </c>
      <c r="E60" s="182">
        <v>1</v>
      </c>
      <c r="F60" s="183">
        <v>24812202</v>
      </c>
      <c r="G60" s="248">
        <f>IF(ISBLANK(F60),"-",(F60/$D$50*$D$47*$B$68)*($B$57/$D$60))</f>
        <v>305.40604423998906</v>
      </c>
      <c r="H60" s="266">
        <f t="shared" ref="H60:H71" si="0">IF(ISBLANK(F60),"-",(G60/$B$56)*100)</f>
        <v>101.80201474666302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0"/>
      <c r="D61" s="323"/>
      <c r="E61" s="184">
        <v>2</v>
      </c>
      <c r="F61" s="137">
        <v>24849179</v>
      </c>
      <c r="G61" s="249">
        <f>IF(ISBLANK(F61),"-",(F61/$D$50*$D$47*$B$68)*($B$57/$D$60))</f>
        <v>305.86118317920381</v>
      </c>
      <c r="H61" s="267">
        <f t="shared" si="0"/>
        <v>101.95372772640128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>
        <v>24953405</v>
      </c>
      <c r="G62" s="249">
        <f>IF(ISBLANK(F62),"-",(F62/$D$50*$D$47*$B$68)*($B$57/$D$60))</f>
        <v>307.14407013808631</v>
      </c>
      <c r="H62" s="267">
        <f t="shared" si="0"/>
        <v>102.38135671269544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356.19</v>
      </c>
      <c r="E64" s="182">
        <v>1</v>
      </c>
      <c r="F64" s="183">
        <v>24946884</v>
      </c>
      <c r="G64" s="248">
        <f>IF(ISBLANK(F64),"-",(F64/$D$50*$D$47*$B$68)*($B$57/$D$64))</f>
        <v>311.90868726323214</v>
      </c>
      <c r="H64" s="266">
        <f t="shared" si="0"/>
        <v>103.96956242107737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24518083</v>
      </c>
      <c r="G65" s="249">
        <f>IF(ISBLANK(F65),"-",(F65/$D$50*$D$47*$B$68)*($B$57/$D$64))</f>
        <v>306.54742623331106</v>
      </c>
      <c r="H65" s="267">
        <f t="shared" si="0"/>
        <v>102.18247541110368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24829079</v>
      </c>
      <c r="G66" s="249">
        <f>IF(ISBLANK(F66),"-",(F66/$D$50*$D$47*$B$68)*($B$57/$D$64))</f>
        <v>310.43578175314741</v>
      </c>
      <c r="H66" s="267">
        <f t="shared" si="0"/>
        <v>103.47859391771581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9" t="s">
        <v>104</v>
      </c>
      <c r="D68" s="322">
        <v>362.18</v>
      </c>
      <c r="E68" s="182">
        <v>1</v>
      </c>
      <c r="F68" s="183">
        <v>24852665</v>
      </c>
      <c r="G68" s="248">
        <f>IF(ISBLANK(F68),"-",(F68/$D$50*$D$47*$B$68)*($B$57/$D$68))</f>
        <v>305.5915823090279</v>
      </c>
      <c r="H68" s="267">
        <f t="shared" si="0"/>
        <v>101.86386076967597</v>
      </c>
    </row>
    <row r="69" spans="1:8" ht="27" customHeight="1" x14ac:dyDescent="0.4">
      <c r="A69" s="172" t="s">
        <v>105</v>
      </c>
      <c r="B69" s="189">
        <f>(D47*B68)/B56*B57</f>
        <v>452.49687499999999</v>
      </c>
      <c r="C69" s="320"/>
      <c r="D69" s="323"/>
      <c r="E69" s="184">
        <v>2</v>
      </c>
      <c r="F69" s="137">
        <v>24839598</v>
      </c>
      <c r="G69" s="249">
        <f>IF(ISBLANK(F69),"-",(F69/$D$50*$D$47*$B$68)*($B$57/$D$68))</f>
        <v>305.4309087874546</v>
      </c>
      <c r="H69" s="267">
        <f t="shared" si="0"/>
        <v>101.81030292915155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24963067</v>
      </c>
      <c r="G70" s="249">
        <f>IF(ISBLANK(F70),"-",(F70/$D$50*$D$47*$B$68)*($B$57/$D$68))</f>
        <v>306.94909957609286</v>
      </c>
      <c r="H70" s="267">
        <f t="shared" si="0"/>
        <v>102.31636652536429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307.25275371994945</v>
      </c>
      <c r="H72" s="269">
        <f>AVERAGE(H60:H71)</f>
        <v>102.41758457331649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7.6186177521486414E-3</v>
      </c>
      <c r="H73" s="253">
        <f>STDEV(H60:H71)/H72</f>
        <v>7.6186177521486128E-3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>Zidovudine</v>
      </c>
      <c r="D76" s="327"/>
      <c r="E76" s="198" t="s">
        <v>108</v>
      </c>
      <c r="F76" s="198"/>
      <c r="G76" s="199">
        <f>H72</f>
        <v>102.41758457331649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Zidovudine</v>
      </c>
      <c r="C79" s="313"/>
    </row>
    <row r="80" spans="1:8" ht="26.25" customHeight="1" x14ac:dyDescent="0.4">
      <c r="A80" s="109" t="s">
        <v>48</v>
      </c>
      <c r="B80" s="313" t="str">
        <f>B27</f>
        <v>Z1-1</v>
      </c>
      <c r="C80" s="313"/>
    </row>
    <row r="81" spans="1:12" ht="27" customHeight="1" x14ac:dyDescent="0.4">
      <c r="A81" s="109" t="s">
        <v>6</v>
      </c>
      <c r="B81" s="201">
        <f>B28</f>
        <v>99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63147671</v>
      </c>
      <c r="E91" s="133">
        <f>IF(ISBLANK(D91),"-",$D$101/$D$98*D91)</f>
        <v>67756029.597011104</v>
      </c>
      <c r="F91" s="132">
        <v>82569940</v>
      </c>
      <c r="G91" s="134">
        <f>IF(ISBLANK(F91),"-",$D$101/$F$98*F91)</f>
        <v>68307927.762473211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64237993</v>
      </c>
      <c r="E92" s="138">
        <f>IF(ISBLANK(D92),"-",$D$101/$D$98*D92)</f>
        <v>68925920.561038464</v>
      </c>
      <c r="F92" s="137">
        <v>82854787</v>
      </c>
      <c r="G92" s="139">
        <f>IF(ISBLANK(F92),"-",$D$101/$F$98*F92)</f>
        <v>68543574.152665049</v>
      </c>
      <c r="I92" s="314">
        <f>ABS((F96/D96*D95)-F95)/D95</f>
        <v>2.6759090219091682E-3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64132354</v>
      </c>
      <c r="E93" s="138">
        <f>IF(ISBLANK(D93),"-",$D$101/$D$98*D93)</f>
        <v>68812572.29185845</v>
      </c>
      <c r="F93" s="137">
        <v>82462512</v>
      </c>
      <c r="G93" s="139">
        <f>IF(ISBLANK(F93),"-",$D$101/$F$98*F93)</f>
        <v>68219055.419055417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63839339.333333336</v>
      </c>
      <c r="E95" s="148">
        <f>AVERAGE(E91:E94)</f>
        <v>68498174.149969339</v>
      </c>
      <c r="F95" s="211">
        <f>AVERAGE(F91:F94)</f>
        <v>82629079.666666672</v>
      </c>
      <c r="G95" s="212">
        <f>AVERAGE(G91:G94)</f>
        <v>68356852.444731221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15.69</v>
      </c>
      <c r="E96" s="140"/>
      <c r="F96" s="152">
        <v>20.350000000000001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15.69</v>
      </c>
      <c r="E97" s="155"/>
      <c r="F97" s="154">
        <f>F96*$B$87</f>
        <v>20.350000000000001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15.533099999999999</v>
      </c>
      <c r="E98" s="158"/>
      <c r="F98" s="157">
        <f>F97*$B$83/100</f>
        <v>20.1465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>
        <f>D98/$B$98</f>
        <v>0.31066199999999999</v>
      </c>
      <c r="E99" s="158"/>
      <c r="F99" s="161">
        <f>F98/$B$98</f>
        <v>0.40293000000000001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>
        <f>$B$56/$B$116</f>
        <v>0.33333333333333331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68427513.297350273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6.2646067109704967E-3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65162498</v>
      </c>
      <c r="E108" s="250">
        <f t="shared" ref="E108:E113" si="1">IF(ISBLANK(D108),"-",D108/$D$103*$D$100*$B$116)</f>
        <v>285.68551534309495</v>
      </c>
      <c r="F108" s="277">
        <f t="shared" ref="F108:F113" si="2">IF(ISBLANK(D108), "-", (E108/$B$56)*100)</f>
        <v>95.228505114364978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65911152</v>
      </c>
      <c r="E109" s="251">
        <f t="shared" si="1"/>
        <v>288.9677652624224</v>
      </c>
      <c r="F109" s="278">
        <f t="shared" si="2"/>
        <v>96.322588420807463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65287882</v>
      </c>
      <c r="E110" s="251">
        <f t="shared" si="1"/>
        <v>286.23522405217147</v>
      </c>
      <c r="F110" s="278">
        <f t="shared" si="2"/>
        <v>95.411741350723815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65754143</v>
      </c>
      <c r="E111" s="251">
        <f t="shared" si="1"/>
        <v>288.27940618388453</v>
      </c>
      <c r="F111" s="278">
        <f t="shared" si="2"/>
        <v>96.093135394628177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65821814</v>
      </c>
      <c r="E112" s="251">
        <f t="shared" si="1"/>
        <v>288.57608947722269</v>
      </c>
      <c r="F112" s="278">
        <f t="shared" si="2"/>
        <v>96.192029825740903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65813283</v>
      </c>
      <c r="E113" s="252">
        <f t="shared" si="1"/>
        <v>288.53868785502902</v>
      </c>
      <c r="F113" s="279">
        <f t="shared" si="2"/>
        <v>96.179562618343013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287.71378136230419</v>
      </c>
      <c r="F115" s="281">
        <f>AVERAGE(F108:F113)</f>
        <v>95.904593787434735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4.8201624248647009E-3</v>
      </c>
      <c r="F116" s="235">
        <f>STDEV(F108:F113)/F115</f>
        <v>4.8201624248647382E-3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285.68551534309495</v>
      </c>
      <c r="F119" s="282">
        <f>MIN(F108:F113)</f>
        <v>95.228505114364978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288.9677652624224</v>
      </c>
      <c r="F120" s="283">
        <f>MAX(F108:F113)</f>
        <v>96.322588420807463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>Zidovudine</v>
      </c>
      <c r="D124" s="327"/>
      <c r="E124" s="198" t="s">
        <v>127</v>
      </c>
      <c r="F124" s="198"/>
      <c r="G124" s="284">
        <f>F115</f>
        <v>95.904593787434735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95.228505114364978</v>
      </c>
      <c r="E125" s="209" t="s">
        <v>130</v>
      </c>
      <c r="F125" s="284">
        <f>MAX(F108:F113)</f>
        <v>96.322588420807463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Zidovudine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2017-04-19T08:53:05Z</cp:lastPrinted>
  <dcterms:created xsi:type="dcterms:W3CDTF">2005-07-05T10:19:27Z</dcterms:created>
  <dcterms:modified xsi:type="dcterms:W3CDTF">2017-04-20T11:53:04Z</dcterms:modified>
</cp:coreProperties>
</file>