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SST (ZID)" sheetId="9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Lamivudine!$A$1:$I$132</definedName>
    <definedName name="_xlnm.Print_Area" localSheetId="2">Uniformity!$A$1:$F$54</definedName>
    <definedName name="_xlnm.Print_Area" localSheetId="4">zidovudine!$A$1:$I$134</definedName>
  </definedNames>
  <calcPr calcId="145621"/>
</workbook>
</file>

<file path=xl/calcChain.xml><?xml version="1.0" encoding="utf-8"?>
<calcChain xmlns="http://schemas.openxmlformats.org/spreadsheetml/2006/main">
  <c r="B42" i="9" l="1"/>
  <c r="B21" i="9"/>
  <c r="B53" i="9"/>
  <c r="E51" i="9"/>
  <c r="D51" i="9"/>
  <c r="C51" i="9"/>
  <c r="B51" i="9"/>
  <c r="B52" i="9" s="1"/>
  <c r="B32" i="9"/>
  <c r="E30" i="9"/>
  <c r="D30" i="9"/>
  <c r="C30" i="9"/>
  <c r="B30" i="9"/>
  <c r="B31" i="9" s="1"/>
  <c r="C124" i="4" l="1"/>
  <c r="B116" i="4"/>
  <c r="D100" i="4" s="1"/>
  <c r="B98" i="4"/>
  <c r="F95" i="4"/>
  <c r="D95" i="4"/>
  <c r="B87" i="4"/>
  <c r="B81" i="4"/>
  <c r="B83" i="4" s="1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C49" i="2"/>
  <c r="C46" i="2"/>
  <c r="C45" i="2"/>
  <c r="D42" i="2"/>
  <c r="D41" i="2"/>
  <c r="D38" i="2"/>
  <c r="D37" i="2"/>
  <c r="D34" i="2"/>
  <c r="D33" i="2"/>
  <c r="D30" i="2"/>
  <c r="D29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4" l="1"/>
  <c r="D46" i="4" s="1"/>
  <c r="I92" i="4"/>
  <c r="I39" i="4"/>
  <c r="F44" i="4"/>
  <c r="F45" i="4" s="1"/>
  <c r="I92" i="3"/>
  <c r="I39" i="3"/>
  <c r="F98" i="3"/>
  <c r="G91" i="3" s="1"/>
  <c r="D97" i="3"/>
  <c r="D101" i="3"/>
  <c r="D102" i="3" s="1"/>
  <c r="F46" i="3"/>
  <c r="F99" i="3"/>
  <c r="B57" i="4"/>
  <c r="B69" i="4" s="1"/>
  <c r="D50" i="2"/>
  <c r="B49" i="2"/>
  <c r="B57" i="3"/>
  <c r="G41" i="3"/>
  <c r="E38" i="4"/>
  <c r="E41" i="4"/>
  <c r="D49" i="4"/>
  <c r="E40" i="4"/>
  <c r="D27" i="2"/>
  <c r="D31" i="2"/>
  <c r="D35" i="2"/>
  <c r="D39" i="2"/>
  <c r="D43" i="2"/>
  <c r="D49" i="2"/>
  <c r="G40" i="3"/>
  <c r="D49" i="3"/>
  <c r="E40" i="3"/>
  <c r="G38" i="3"/>
  <c r="G39" i="3"/>
  <c r="B69" i="3"/>
  <c r="E39" i="4"/>
  <c r="D101" i="4"/>
  <c r="D28" i="2"/>
  <c r="D32" i="2"/>
  <c r="D36" i="2"/>
  <c r="D40" i="2"/>
  <c r="C50" i="2"/>
  <c r="D98" i="3"/>
  <c r="E94" i="3"/>
  <c r="G92" i="3"/>
  <c r="E92" i="3"/>
  <c r="G94" i="3"/>
  <c r="E91" i="3"/>
  <c r="D97" i="4"/>
  <c r="D98" i="4" s="1"/>
  <c r="D99" i="4" s="1"/>
  <c r="F97" i="4"/>
  <c r="F98" i="4" s="1"/>
  <c r="F99" i="4" s="1"/>
  <c r="D44" i="3"/>
  <c r="D45" i="3" s="1"/>
  <c r="F46" i="4" l="1"/>
  <c r="G39" i="4"/>
  <c r="G41" i="4"/>
  <c r="G38" i="4"/>
  <c r="G93" i="3"/>
  <c r="G95" i="3"/>
  <c r="G42" i="3"/>
  <c r="E42" i="4"/>
  <c r="D46" i="3"/>
  <c r="E38" i="3"/>
  <c r="D99" i="3"/>
  <c r="E93" i="3"/>
  <c r="D105" i="3" s="1"/>
  <c r="E93" i="4"/>
  <c r="G91" i="4"/>
  <c r="G94" i="4"/>
  <c r="E91" i="4"/>
  <c r="D102" i="4"/>
  <c r="G93" i="4"/>
  <c r="E92" i="4"/>
  <c r="G92" i="4"/>
  <c r="E94" i="4"/>
  <c r="E41" i="3"/>
  <c r="E39" i="3"/>
  <c r="G40" i="4"/>
  <c r="G95" i="4" l="1"/>
  <c r="D50" i="4"/>
  <c r="G66" i="4" s="1"/>
  <c r="H66" i="4" s="1"/>
  <c r="G42" i="4"/>
  <c r="D52" i="4"/>
  <c r="E95" i="3"/>
  <c r="D103" i="3"/>
  <c r="D104" i="3" s="1"/>
  <c r="G71" i="4"/>
  <c r="H71" i="4" s="1"/>
  <c r="G62" i="4"/>
  <c r="H62" i="4" s="1"/>
  <c r="G60" i="4"/>
  <c r="G63" i="4"/>
  <c r="H63" i="4" s="1"/>
  <c r="G67" i="4"/>
  <c r="H67" i="4" s="1"/>
  <c r="G70" i="4"/>
  <c r="H70" i="4" s="1"/>
  <c r="D105" i="4"/>
  <c r="E95" i="4"/>
  <c r="D103" i="4"/>
  <c r="D50" i="3"/>
  <c r="E42" i="3"/>
  <c r="D52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G64" i="4" l="1"/>
  <c r="H64" i="4" s="1"/>
  <c r="G65" i="4"/>
  <c r="H65" i="4" s="1"/>
  <c r="G68" i="4"/>
  <c r="H68" i="4" s="1"/>
  <c r="G69" i="4"/>
  <c r="H69" i="4" s="1"/>
  <c r="G61" i="4"/>
  <c r="H61" i="4" s="1"/>
  <c r="D51" i="4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69" i="3"/>
  <c r="H69" i="3" s="1"/>
  <c r="G62" i="3"/>
  <c r="H62" i="3" s="1"/>
  <c r="G60" i="3"/>
  <c r="G71" i="3"/>
  <c r="H71" i="3" s="1"/>
  <c r="G64" i="3"/>
  <c r="H64" i="3" s="1"/>
  <c r="G66" i="3"/>
  <c r="H66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20" i="3"/>
  <c r="E117" i="3"/>
  <c r="F108" i="3"/>
  <c r="E115" i="3"/>
  <c r="E116" i="3" s="1"/>
  <c r="E119" i="3"/>
  <c r="H60" i="4"/>
  <c r="G72" i="4" l="1"/>
  <c r="G73" i="4" s="1"/>
  <c r="G74" i="4"/>
  <c r="G74" i="3"/>
  <c r="G72" i="3"/>
  <c r="G73" i="3" s="1"/>
  <c r="H60" i="3"/>
  <c r="D125" i="3"/>
  <c r="F115" i="3"/>
  <c r="F119" i="3"/>
  <c r="F125" i="3"/>
  <c r="F120" i="3"/>
  <c r="F117" i="3"/>
  <c r="E119" i="4"/>
  <c r="E115" i="4"/>
  <c r="E116" i="4" s="1"/>
  <c r="E120" i="4"/>
  <c r="F108" i="4"/>
  <c r="E117" i="4"/>
  <c r="H74" i="4"/>
  <c r="H72" i="4"/>
  <c r="H74" i="3" l="1"/>
  <c r="H72" i="3"/>
  <c r="G124" i="3"/>
  <c r="F116" i="3"/>
  <c r="F125" i="4"/>
  <c r="F120" i="4"/>
  <c r="F117" i="4"/>
  <c r="F119" i="4"/>
  <c r="F115" i="4"/>
  <c r="D125" i="4"/>
  <c r="G76" i="4"/>
  <c r="H73" i="4"/>
  <c r="G76" i="3" l="1"/>
  <c r="H73" i="3"/>
  <c r="G124" i="4"/>
  <c r="F116" i="4"/>
</calcChain>
</file>

<file path=xl/sharedStrings.xml><?xml version="1.0" encoding="utf-8"?>
<sst xmlns="http://schemas.openxmlformats.org/spreadsheetml/2006/main" count="454" uniqueCount="140">
  <si>
    <t>HPLC System Suitability Report</t>
  </si>
  <si>
    <t>Analysis Data</t>
  </si>
  <si>
    <t>Assay</t>
  </si>
  <si>
    <t>Sample(s)</t>
  </si>
  <si>
    <t>Reference Substance:</t>
  </si>
  <si>
    <t>LAMIVUDINE 150 MG &amp; ZIDOVUDINE 300 MG TABLETS USP</t>
  </si>
  <si>
    <t>% age Purity:</t>
  </si>
  <si>
    <t>NDQB201705378</t>
  </si>
  <si>
    <t>Weight (mg):</t>
  </si>
  <si>
    <t xml:space="preserve">LAMIVUDINE  &amp; ZIDOVUDINE </t>
  </si>
  <si>
    <t>Standard Conc (mg/mL):</t>
  </si>
  <si>
    <t xml:space="preserve">Each film coated tablet contains: Lamivudine USP 150 mg and Zidovudine USP 300 mg.
</t>
  </si>
  <si>
    <t>2017-05-08 10:37:21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</si>
  <si>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</si>
  <si>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</si>
  <si>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</si>
  <si>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</si>
  <si>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</si>
  <si>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</si>
  <si>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</si>
  <si>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</si>
  <si>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</si>
  <si>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</si>
  <si>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</si>
  <si>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</si>
  <si>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</si>
  <si>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</si>
  <si>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</si>
  <si>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</si>
  <si>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</si>
  <si>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</si>
  <si>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</si>
  <si>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</si>
  <si>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</si>
  <si>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</si>
  <si>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</si>
  <si>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</si>
  <si>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</si>
  <si>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</si>
  <si>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</si>
  <si>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</si>
  <si>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</si>
  <si>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</si>
  <si>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</si>
  <si>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</si>
  <si>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</si>
  <si>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</si>
  <si>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</si>
  <si>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</si>
  <si>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</si>
  <si>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</si>
  <si>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</si>
  <si>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</si>
  <si>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</si>
  <si>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</si>
  <si>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</si>
  <si>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</si>
  <si>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</si>
  <si>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</si>
  <si>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</si>
  <si>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</si>
  <si>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</si>
  <si>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</si>
  <si>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</si>
  <si>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</si>
  <si>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</si>
  <si>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</si>
  <si>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</si>
  <si>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</si>
  <si>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</si>
  <si>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</si>
  <si>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</si>
  <si>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</si>
  <si>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</si>
  <si>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</si>
  <si>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</si>
  <si>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</si>
  <si>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</si>
  <si>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</si>
  <si>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</si>
  <si>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</si>
  <si>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</si>
  <si>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</si>
  <si>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</si>
  <si>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</si>
  <si>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</si>
  <si>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</si>
  <si>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</si>
  <si>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</si>
  <si>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</si>
  <si>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</si>
  <si>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</si>
  <si>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</si>
  <si>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</si>
  <si>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</si>
  <si>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</si>
  <si>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</si>
  <si>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</si>
  <si>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</si>
  <si>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</si>
  <si>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</si>
  <si>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</si>
  <si>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</si>
  <si>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</si>
  <si>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</si>
  <si>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</si>
  <si>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</si>
  <si>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</si>
  <si>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</si>
  <si>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</si>
  <si>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</si>
  <si>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</si>
  <si>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</si>
  <si>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</si>
  <si>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</si>
  <si>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</si>
  <si>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</si>
  <si>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</si>
  <si>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</si>
  <si>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</si>
  <si>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</si>
  <si>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</si>
  <si>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</si>
  <si>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</si>
  <si>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</si>
  <si>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</si>
  <si>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</si>
  <si>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</si>
  <si>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</si>
  <si>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</si>
  <si>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L42-1</t>
  </si>
  <si>
    <t>LAMIVUDINE</t>
  </si>
  <si>
    <t>LAMIVUDINE  150 MG</t>
  </si>
  <si>
    <t>17.71/100</t>
  </si>
  <si>
    <t>TUITOEK/DR. LORNA</t>
  </si>
  <si>
    <t>ZIDOVUDINE</t>
  </si>
  <si>
    <t>Z1-1</t>
  </si>
  <si>
    <t xml:space="preserve"> ZIDOVUDINE </t>
  </si>
  <si>
    <t xml:space="preserve">LAMIVUDINE  </t>
  </si>
  <si>
    <t>ZIDOVUDINE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</si>
</sst>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132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17.71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133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36281659</v>
      </c>
      <c r="C24" s="18">
        <v>4185.5</v>
      </c>
      <c r="D24" s="19">
        <v>1.2</v>
      </c>
      <c r="E24" s="20">
        <v>3</v>
      </c>
    </row>
    <row r="25" spans="1:6" ht="16.5" customHeight="1" x14ac:dyDescent="0.3">
      <c r="A25" s="17">
        <v>2</v>
      </c>
      <c r="B25" s="18">
        <v>36253722</v>
      </c>
      <c r="C25" s="18">
        <v>4135.6000000000004</v>
      </c>
      <c r="D25" s="19">
        <v>1.2</v>
      </c>
      <c r="E25" s="19">
        <v>3</v>
      </c>
    </row>
    <row r="26" spans="1:6" ht="16.5" customHeight="1" x14ac:dyDescent="0.3">
      <c r="A26" s="17">
        <v>3</v>
      </c>
      <c r="B26" s="18">
        <v>36418500</v>
      </c>
      <c r="C26" s="18">
        <v>4102.5</v>
      </c>
      <c r="D26" s="19">
        <v>1.2</v>
      </c>
      <c r="E26" s="19">
        <v>3</v>
      </c>
    </row>
    <row r="27" spans="1:6" ht="16.5" customHeight="1" x14ac:dyDescent="0.3">
      <c r="A27" s="17">
        <v>4</v>
      </c>
      <c r="B27" s="18">
        <v>36238737</v>
      </c>
      <c r="C27" s="18">
        <v>4083.1</v>
      </c>
      <c r="D27" s="19">
        <v>1.2</v>
      </c>
      <c r="E27" s="19">
        <v>3</v>
      </c>
    </row>
    <row r="28" spans="1:6" ht="16.5" customHeight="1" x14ac:dyDescent="0.3">
      <c r="A28" s="17">
        <v>5</v>
      </c>
      <c r="B28" s="18">
        <v>36340150</v>
      </c>
      <c r="C28" s="18">
        <v>4069.3</v>
      </c>
      <c r="D28" s="19">
        <v>1.2</v>
      </c>
      <c r="E28" s="19">
        <v>3</v>
      </c>
    </row>
    <row r="29" spans="1:6" ht="16.5" customHeight="1" x14ac:dyDescent="0.3">
      <c r="A29" s="17">
        <v>6</v>
      </c>
      <c r="B29" s="21">
        <v>36224548</v>
      </c>
      <c r="C29" s="21">
        <v>4067.6</v>
      </c>
      <c r="D29" s="22">
        <v>1.2</v>
      </c>
      <c r="E29" s="22">
        <v>3</v>
      </c>
    </row>
    <row r="30" spans="1:6" ht="16.5" customHeight="1" x14ac:dyDescent="0.3">
      <c r="A30" s="23" t="s">
        <v>18</v>
      </c>
      <c r="B30" s="24">
        <f>AVERAGE(B24:B29)</f>
        <v>36292886</v>
      </c>
      <c r="C30" s="25">
        <f>AVERAGE(C24:C29)</f>
        <v>4107.2666666666664</v>
      </c>
      <c r="D30" s="26">
        <f>AVERAGE(D24:D29)</f>
        <v>1.2</v>
      </c>
      <c r="E30" s="26">
        <f>AVERAGE(E24:E29)</f>
        <v>3</v>
      </c>
    </row>
    <row r="31" spans="1:6" ht="16.5" customHeight="1" x14ac:dyDescent="0.3">
      <c r="A31" s="27" t="s">
        <v>19</v>
      </c>
      <c r="B31" s="28">
        <f>(STDEV(B24:B29)/B30)</f>
        <v>2.0350471142513283E-3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17.71</v>
      </c>
      <c r="C41" s="10"/>
      <c r="D41" s="10"/>
      <c r="E41" s="10"/>
    </row>
    <row r="42" spans="1:6" ht="16.5" customHeight="1" x14ac:dyDescent="0.3">
      <c r="A42" s="7" t="s">
        <v>10</v>
      </c>
      <c r="B42" s="13" t="s">
        <v>133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36281659</v>
      </c>
      <c r="C45" s="18">
        <v>4185.5</v>
      </c>
      <c r="D45" s="19">
        <v>1.2</v>
      </c>
      <c r="E45" s="20">
        <v>3</v>
      </c>
    </row>
    <row r="46" spans="1:6" ht="16.5" customHeight="1" x14ac:dyDescent="0.3">
      <c r="A46" s="17">
        <v>2</v>
      </c>
      <c r="B46" s="18">
        <v>36253722</v>
      </c>
      <c r="C46" s="18">
        <v>4135.6000000000004</v>
      </c>
      <c r="D46" s="19">
        <v>1.2</v>
      </c>
      <c r="E46" s="19">
        <v>3</v>
      </c>
    </row>
    <row r="47" spans="1:6" ht="16.5" customHeight="1" x14ac:dyDescent="0.3">
      <c r="A47" s="17">
        <v>3</v>
      </c>
      <c r="B47" s="18">
        <v>36418500</v>
      </c>
      <c r="C47" s="18">
        <v>4102.5</v>
      </c>
      <c r="D47" s="19">
        <v>1.2</v>
      </c>
      <c r="E47" s="19">
        <v>3</v>
      </c>
    </row>
    <row r="48" spans="1:6" ht="16.5" customHeight="1" x14ac:dyDescent="0.3">
      <c r="A48" s="17">
        <v>4</v>
      </c>
      <c r="B48" s="18">
        <v>36238737</v>
      </c>
      <c r="C48" s="18">
        <v>4083.1</v>
      </c>
      <c r="D48" s="19">
        <v>1.2</v>
      </c>
      <c r="E48" s="19">
        <v>3</v>
      </c>
    </row>
    <row r="49" spans="1:7" ht="16.5" customHeight="1" x14ac:dyDescent="0.3">
      <c r="A49" s="17">
        <v>5</v>
      </c>
      <c r="B49" s="18">
        <v>36340150</v>
      </c>
      <c r="C49" s="18">
        <v>4069.3</v>
      </c>
      <c r="D49" s="19">
        <v>1.2</v>
      </c>
      <c r="E49" s="19">
        <v>3</v>
      </c>
    </row>
    <row r="50" spans="1:7" ht="16.5" customHeight="1" x14ac:dyDescent="0.3">
      <c r="A50" s="17">
        <v>6</v>
      </c>
      <c r="B50" s="21">
        <v>36224548</v>
      </c>
      <c r="C50" s="21">
        <v>4067.6</v>
      </c>
      <c r="D50" s="22">
        <v>1.2</v>
      </c>
      <c r="E50" s="22">
        <v>3</v>
      </c>
    </row>
    <row r="51" spans="1:7" ht="16.5" customHeight="1" x14ac:dyDescent="0.3">
      <c r="A51" s="23" t="s">
        <v>18</v>
      </c>
      <c r="B51" s="24">
        <f>AVERAGE(B45:B50)</f>
        <v>36292886</v>
      </c>
      <c r="C51" s="25">
        <f>AVERAGE(C45:C50)</f>
        <v>4107.2666666666664</v>
      </c>
      <c r="D51" s="26">
        <f>AVERAGE(D45:D50)</f>
        <v>1.2</v>
      </c>
      <c r="E51" s="26">
        <f>AVERAGE(E45:E50)</f>
        <v>3</v>
      </c>
    </row>
    <row r="52" spans="1:7" ht="16.5" customHeight="1" x14ac:dyDescent="0.3">
      <c r="A52" s="27" t="s">
        <v>19</v>
      </c>
      <c r="B52" s="28">
        <f>(STDEV(B45:B50)/B51)</f>
        <v>2.0350471142513283E-3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5" t="s">
        <v>25</v>
      </c>
      <c r="C59" s="47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134</v>
      </c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4" workbookViewId="0">
      <selection activeCell="B43" sqref="B43"/>
    </sheetView>
  </sheetViews>
  <sheetFormatPr defaultRowHeight="13.5" x14ac:dyDescent="0.25"/>
  <cols>
    <col min="1" max="1" width="27.5703125" style="473" customWidth="1"/>
    <col min="2" max="2" width="20.42578125" style="473" customWidth="1"/>
    <col min="3" max="3" width="31.85546875" style="473" customWidth="1"/>
    <col min="4" max="4" width="25.85546875" style="473" customWidth="1"/>
    <col min="5" max="5" width="25.7109375" style="473" customWidth="1"/>
    <col min="6" max="6" width="23.140625" style="473" customWidth="1"/>
    <col min="7" max="7" width="28.42578125" style="473" customWidth="1"/>
    <col min="8" max="8" width="21.5703125" style="473" customWidth="1"/>
    <col min="9" max="9" width="9.140625" style="47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139</v>
      </c>
      <c r="D17" s="9"/>
      <c r="E17" s="72"/>
    </row>
    <row r="18" spans="1:5" ht="16.5" customHeight="1" x14ac:dyDescent="0.3">
      <c r="A18" s="75" t="s">
        <v>4</v>
      </c>
      <c r="B18" s="8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100.8</v>
      </c>
      <c r="C19" s="72"/>
      <c r="D19" s="72"/>
      <c r="E19" s="72"/>
    </row>
    <row r="20" spans="1:5" ht="16.5" customHeight="1" x14ac:dyDescent="0.3">
      <c r="A20" s="8" t="s">
        <v>8</v>
      </c>
      <c r="B20" s="12">
        <v>32.380000000000003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0.32380000000000003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57379935</v>
      </c>
      <c r="C24" s="18">
        <v>4335.7</v>
      </c>
      <c r="D24" s="19">
        <v>1.2</v>
      </c>
      <c r="E24" s="20">
        <v>3.8</v>
      </c>
    </row>
    <row r="25" spans="1:5" ht="16.5" customHeight="1" x14ac:dyDescent="0.3">
      <c r="A25" s="17">
        <v>2</v>
      </c>
      <c r="B25" s="18">
        <v>57337587</v>
      </c>
      <c r="C25" s="18">
        <v>4285.5</v>
      </c>
      <c r="D25" s="19">
        <v>1.2</v>
      </c>
      <c r="E25" s="19">
        <v>3.8</v>
      </c>
    </row>
    <row r="26" spans="1:5" ht="16.5" customHeight="1" x14ac:dyDescent="0.3">
      <c r="A26" s="17">
        <v>3</v>
      </c>
      <c r="B26" s="18">
        <v>57579229</v>
      </c>
      <c r="C26" s="18">
        <v>4246.1000000000004</v>
      </c>
      <c r="D26" s="19">
        <v>1.2</v>
      </c>
      <c r="E26" s="19">
        <v>3.8</v>
      </c>
    </row>
    <row r="27" spans="1:5" ht="16.5" customHeight="1" x14ac:dyDescent="0.3">
      <c r="A27" s="17">
        <v>4</v>
      </c>
      <c r="B27" s="18">
        <v>57281485</v>
      </c>
      <c r="C27" s="18">
        <v>4227.5</v>
      </c>
      <c r="D27" s="19">
        <v>1.2</v>
      </c>
      <c r="E27" s="19">
        <v>3.8</v>
      </c>
    </row>
    <row r="28" spans="1:5" ht="16.5" customHeight="1" x14ac:dyDescent="0.3">
      <c r="A28" s="17">
        <v>5</v>
      </c>
      <c r="B28" s="18">
        <v>57453278</v>
      </c>
      <c r="C28" s="18">
        <v>4204.2</v>
      </c>
      <c r="D28" s="19">
        <v>1.2</v>
      </c>
      <c r="E28" s="19">
        <v>3.8</v>
      </c>
    </row>
    <row r="29" spans="1:5" ht="16.5" customHeight="1" x14ac:dyDescent="0.3">
      <c r="A29" s="17">
        <v>6</v>
      </c>
      <c r="B29" s="21">
        <v>57292186</v>
      </c>
      <c r="C29" s="21">
        <v>4212.5</v>
      </c>
      <c r="D29" s="22">
        <v>1.2</v>
      </c>
      <c r="E29" s="22">
        <v>3.8</v>
      </c>
    </row>
    <row r="30" spans="1:5" ht="16.5" customHeight="1" x14ac:dyDescent="0.3">
      <c r="A30" s="23" t="s">
        <v>18</v>
      </c>
      <c r="B30" s="24">
        <f>AVERAGE(B24:B29)</f>
        <v>57387283.333333336</v>
      </c>
      <c r="C30" s="25">
        <f>AVERAGE(C24:C29)</f>
        <v>4251.916666666667</v>
      </c>
      <c r="D30" s="26">
        <f>AVERAGE(D24:D29)</f>
        <v>1.2</v>
      </c>
      <c r="E30" s="26">
        <f>AVERAGE(E24:E29)</f>
        <v>3.8000000000000003</v>
      </c>
    </row>
    <row r="31" spans="1:5" ht="16.5" customHeight="1" x14ac:dyDescent="0.3">
      <c r="A31" s="27" t="s">
        <v>19</v>
      </c>
      <c r="B31" s="28">
        <f>(STDEV(B24:B29)/B30)</f>
        <v>1.9708337459229284E-3</v>
      </c>
      <c r="C31" s="29"/>
      <c r="D31" s="29"/>
      <c r="E31" s="30"/>
    </row>
    <row r="32" spans="1:5" s="473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73" customFormat="1" ht="15.75" customHeight="1" x14ac:dyDescent="0.25">
      <c r="A33" s="72"/>
      <c r="B33" s="72"/>
      <c r="C33" s="72"/>
      <c r="D33" s="72"/>
      <c r="E33" s="72"/>
    </row>
    <row r="34" spans="1:5" s="473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/>
    </row>
    <row r="39" spans="1:5" ht="16.5" customHeight="1" x14ac:dyDescent="0.3">
      <c r="A39" s="75" t="s">
        <v>4</v>
      </c>
      <c r="B39" s="8" t="s">
        <v>135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100.8</v>
      </c>
      <c r="C40" s="72"/>
      <c r="D40" s="72"/>
      <c r="E40" s="72"/>
    </row>
    <row r="41" spans="1:5" ht="16.5" customHeight="1" x14ac:dyDescent="0.3">
      <c r="A41" s="8" t="s">
        <v>8</v>
      </c>
      <c r="B41" s="12">
        <v>32.380000000000003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B41/100</f>
        <v>0.32380000000000003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57379935</v>
      </c>
      <c r="C45" s="18">
        <v>4335.7</v>
      </c>
      <c r="D45" s="19">
        <v>1.2</v>
      </c>
      <c r="E45" s="20">
        <v>3.8</v>
      </c>
    </row>
    <row r="46" spans="1:5" ht="16.5" customHeight="1" x14ac:dyDescent="0.3">
      <c r="A46" s="17">
        <v>2</v>
      </c>
      <c r="B46" s="18">
        <v>57337587</v>
      </c>
      <c r="C46" s="18">
        <v>4285.5</v>
      </c>
      <c r="D46" s="19">
        <v>1.2</v>
      </c>
      <c r="E46" s="19">
        <v>3.8</v>
      </c>
    </row>
    <row r="47" spans="1:5" ht="16.5" customHeight="1" x14ac:dyDescent="0.3">
      <c r="A47" s="17">
        <v>3</v>
      </c>
      <c r="B47" s="18">
        <v>57579229</v>
      </c>
      <c r="C47" s="18">
        <v>4246.1000000000004</v>
      </c>
      <c r="D47" s="19">
        <v>1.2</v>
      </c>
      <c r="E47" s="19">
        <v>3.8</v>
      </c>
    </row>
    <row r="48" spans="1:5" ht="16.5" customHeight="1" x14ac:dyDescent="0.3">
      <c r="A48" s="17">
        <v>4</v>
      </c>
      <c r="B48" s="18">
        <v>57281485</v>
      </c>
      <c r="C48" s="18">
        <v>4227.5</v>
      </c>
      <c r="D48" s="19">
        <v>1.2</v>
      </c>
      <c r="E48" s="19">
        <v>3.8</v>
      </c>
    </row>
    <row r="49" spans="1:7" ht="16.5" customHeight="1" x14ac:dyDescent="0.3">
      <c r="A49" s="17">
        <v>5</v>
      </c>
      <c r="B49" s="18">
        <v>57453278</v>
      </c>
      <c r="C49" s="18">
        <v>4204.2</v>
      </c>
      <c r="D49" s="19">
        <v>1.2</v>
      </c>
      <c r="E49" s="19">
        <v>3.8</v>
      </c>
    </row>
    <row r="50" spans="1:7" ht="16.5" customHeight="1" x14ac:dyDescent="0.3">
      <c r="A50" s="17">
        <v>6</v>
      </c>
      <c r="B50" s="21">
        <v>57292186</v>
      </c>
      <c r="C50" s="21">
        <v>4212.5</v>
      </c>
      <c r="D50" s="22">
        <v>1.2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57387283.333333336</v>
      </c>
      <c r="C51" s="25">
        <f>AVERAGE(C45:C50)</f>
        <v>4251.916666666667</v>
      </c>
      <c r="D51" s="26">
        <f>AVERAGE(D45:D50)</f>
        <v>1.2</v>
      </c>
      <c r="E51" s="26">
        <f>AVERAGE(E45:E50)</f>
        <v>3.8000000000000003</v>
      </c>
    </row>
    <row r="52" spans="1:7" ht="16.5" customHeight="1" x14ac:dyDescent="0.3">
      <c r="A52" s="27" t="s">
        <v>19</v>
      </c>
      <c r="B52" s="28">
        <f>(STDEV(B45:B50)/B51)</f>
        <v>1.9708337459229284E-3</v>
      </c>
      <c r="C52" s="29"/>
      <c r="D52" s="29"/>
      <c r="E52" s="30"/>
    </row>
    <row r="53" spans="1:7" s="473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73" customFormat="1" ht="15.75" customHeight="1" x14ac:dyDescent="0.25">
      <c r="A54" s="72"/>
      <c r="B54" s="72"/>
      <c r="C54" s="72"/>
      <c r="D54" s="72"/>
      <c r="E54" s="72"/>
    </row>
    <row r="55" spans="1:7" s="473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72"/>
      <c r="D58" s="43"/>
      <c r="F58" s="44"/>
      <c r="G58" s="44"/>
    </row>
    <row r="59" spans="1:7" ht="15" customHeight="1" x14ac:dyDescent="0.3">
      <c r="B59" s="475" t="s">
        <v>25</v>
      </c>
      <c r="C59" s="47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134</v>
      </c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9" t="s">
        <v>30</v>
      </c>
      <c r="B11" s="480"/>
      <c r="C11" s="480"/>
      <c r="D11" s="480"/>
      <c r="E11" s="480"/>
      <c r="F11" s="481"/>
      <c r="G11" s="91"/>
    </row>
    <row r="12" spans="1:7" ht="16.5" customHeight="1" x14ac:dyDescent="0.3">
      <c r="A12" s="478" t="s">
        <v>31</v>
      </c>
      <c r="B12" s="478"/>
      <c r="C12" s="478"/>
      <c r="D12" s="478"/>
      <c r="E12" s="478"/>
      <c r="F12" s="478"/>
      <c r="G12" s="90"/>
    </row>
    <row r="14" spans="1:7" ht="16.5" customHeight="1" x14ac:dyDescent="0.3">
      <c r="A14" s="483" t="s">
        <v>32</v>
      </c>
      <c r="B14" s="483"/>
      <c r="C14" s="60" t="s">
        <v>5</v>
      </c>
    </row>
    <row r="15" spans="1:7" ht="16.5" customHeight="1" x14ac:dyDescent="0.3">
      <c r="A15" s="483" t="s">
        <v>33</v>
      </c>
      <c r="B15" s="483"/>
      <c r="C15" s="60" t="s">
        <v>7</v>
      </c>
    </row>
    <row r="16" spans="1:7" ht="16.5" customHeight="1" x14ac:dyDescent="0.3">
      <c r="A16" s="483" t="s">
        <v>34</v>
      </c>
      <c r="B16" s="483"/>
      <c r="C16" s="60" t="s">
        <v>9</v>
      </c>
    </row>
    <row r="17" spans="1:5" ht="16.5" customHeight="1" x14ac:dyDescent="0.3">
      <c r="A17" s="483" t="s">
        <v>35</v>
      </c>
      <c r="B17" s="483"/>
      <c r="C17" s="60" t="s">
        <v>11</v>
      </c>
    </row>
    <row r="18" spans="1:5" ht="16.5" customHeight="1" x14ac:dyDescent="0.3">
      <c r="A18" s="483" t="s">
        <v>36</v>
      </c>
      <c r="B18" s="483"/>
      <c r="C18" s="97" t="s">
        <v>12</v>
      </c>
    </row>
    <row r="19" spans="1:5" ht="16.5" customHeight="1" x14ac:dyDescent="0.3">
      <c r="A19" s="483" t="s">
        <v>37</v>
      </c>
      <c r="B19" s="48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8" t="s">
        <v>1</v>
      </c>
      <c r="B21" s="478"/>
      <c r="C21" s="59" t="s">
        <v>38</v>
      </c>
      <c r="D21" s="66"/>
    </row>
    <row r="22" spans="1:5" ht="15.75" customHeight="1" x14ac:dyDescent="0.3">
      <c r="A22" s="482"/>
      <c r="B22" s="482"/>
      <c r="C22" s="57"/>
      <c r="D22" s="482"/>
      <c r="E22" s="482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739.87</v>
      </c>
      <c r="D24" s="87">
        <f t="shared" ref="D24:D43" si="0">(C24-$C$46)/$C$46</f>
        <v>1.95754609983798E-3</v>
      </c>
      <c r="E24" s="53"/>
    </row>
    <row r="25" spans="1:5" ht="15.75" customHeight="1" x14ac:dyDescent="0.3">
      <c r="C25" s="95">
        <v>737.23</v>
      </c>
      <c r="D25" s="88">
        <f t="shared" si="0"/>
        <v>-1.6176332177496484E-3</v>
      </c>
      <c r="E25" s="53"/>
    </row>
    <row r="26" spans="1:5" ht="15.75" customHeight="1" x14ac:dyDescent="0.3">
      <c r="C26" s="95">
        <v>745.73</v>
      </c>
      <c r="D26" s="88">
        <f t="shared" si="0"/>
        <v>9.8933607972105774E-3</v>
      </c>
      <c r="E26" s="53"/>
    </row>
    <row r="27" spans="1:5" ht="15.75" customHeight="1" x14ac:dyDescent="0.3">
      <c r="C27" s="95">
        <v>740.45</v>
      </c>
      <c r="D27" s="88">
        <f t="shared" si="0"/>
        <v>2.7430021620353214E-3</v>
      </c>
      <c r="E27" s="53"/>
    </row>
    <row r="28" spans="1:5" ht="15.75" customHeight="1" x14ac:dyDescent="0.3">
      <c r="C28" s="95">
        <v>742.6</v>
      </c>
      <c r="D28" s="88">
        <f t="shared" si="0"/>
        <v>5.65460653052523E-3</v>
      </c>
      <c r="E28" s="53"/>
    </row>
    <row r="29" spans="1:5" ht="15.75" customHeight="1" x14ac:dyDescent="0.3">
      <c r="C29" s="95">
        <v>742.03</v>
      </c>
      <c r="D29" s="88">
        <f t="shared" si="0"/>
        <v>4.8826928142278294E-3</v>
      </c>
      <c r="E29" s="53"/>
    </row>
    <row r="30" spans="1:5" ht="15.75" customHeight="1" x14ac:dyDescent="0.3">
      <c r="C30" s="95">
        <v>735</v>
      </c>
      <c r="D30" s="88">
        <f t="shared" si="0"/>
        <v>-4.637576353439238E-3</v>
      </c>
      <c r="E30" s="53"/>
    </row>
    <row r="31" spans="1:5" ht="15.75" customHeight="1" x14ac:dyDescent="0.3">
      <c r="C31" s="95">
        <v>736.94</v>
      </c>
      <c r="D31" s="88">
        <f t="shared" si="0"/>
        <v>-2.0103612488482419E-3</v>
      </c>
      <c r="E31" s="53"/>
    </row>
    <row r="32" spans="1:5" ht="15.75" customHeight="1" x14ac:dyDescent="0.3">
      <c r="C32" s="95">
        <v>744.95</v>
      </c>
      <c r="D32" s="88">
        <f t="shared" si="0"/>
        <v>8.8370578170142641E-3</v>
      </c>
      <c r="E32" s="53"/>
    </row>
    <row r="33" spans="1:7" ht="15.75" customHeight="1" x14ac:dyDescent="0.3">
      <c r="C33" s="95">
        <v>737.89</v>
      </c>
      <c r="D33" s="88">
        <f t="shared" si="0"/>
        <v>-7.2383838835277982E-4</v>
      </c>
      <c r="E33" s="53"/>
    </row>
    <row r="34" spans="1:7" ht="15.75" customHeight="1" x14ac:dyDescent="0.3">
      <c r="C34" s="95">
        <v>740.79</v>
      </c>
      <c r="D34" s="88">
        <f t="shared" si="0"/>
        <v>3.2034419226336197E-3</v>
      </c>
      <c r="E34" s="53"/>
    </row>
    <row r="35" spans="1:7" ht="15.75" customHeight="1" x14ac:dyDescent="0.3">
      <c r="C35" s="95">
        <v>733.82</v>
      </c>
      <c r="D35" s="88">
        <f t="shared" si="0"/>
        <v>-6.2355731696336495E-3</v>
      </c>
      <c r="E35" s="53"/>
    </row>
    <row r="36" spans="1:7" ht="15.75" customHeight="1" x14ac:dyDescent="0.3">
      <c r="C36" s="95">
        <v>738.39</v>
      </c>
      <c r="D36" s="88">
        <f t="shared" si="0"/>
        <v>-4.6721093355119386E-5</v>
      </c>
      <c r="E36" s="53"/>
    </row>
    <row r="37" spans="1:7" ht="15.75" customHeight="1" x14ac:dyDescent="0.3">
      <c r="C37" s="95">
        <v>732.76</v>
      </c>
      <c r="D37" s="88">
        <f t="shared" si="0"/>
        <v>-7.6710618350287691E-3</v>
      </c>
      <c r="E37" s="53"/>
    </row>
    <row r="38" spans="1:7" ht="15.75" customHeight="1" x14ac:dyDescent="0.3">
      <c r="C38" s="95">
        <v>738.36</v>
      </c>
      <c r="D38" s="88">
        <f t="shared" si="0"/>
        <v>-8.7348131054942063E-5</v>
      </c>
      <c r="E38" s="53"/>
    </row>
    <row r="39" spans="1:7" ht="15.75" customHeight="1" x14ac:dyDescent="0.3">
      <c r="C39" s="95">
        <v>733.86</v>
      </c>
      <c r="D39" s="88">
        <f t="shared" si="0"/>
        <v>-6.1814037860338858E-3</v>
      </c>
      <c r="E39" s="53"/>
    </row>
    <row r="40" spans="1:7" ht="15.75" customHeight="1" x14ac:dyDescent="0.3">
      <c r="C40" s="95">
        <v>735.94</v>
      </c>
      <c r="D40" s="88">
        <f t="shared" si="0"/>
        <v>-3.3645958388435629E-3</v>
      </c>
      <c r="E40" s="53"/>
    </row>
    <row r="41" spans="1:7" ht="15.75" customHeight="1" x14ac:dyDescent="0.3">
      <c r="C41" s="95">
        <v>738.87</v>
      </c>
      <c r="D41" s="88">
        <f t="shared" si="0"/>
        <v>6.0331150984265923E-4</v>
      </c>
      <c r="E41" s="53"/>
    </row>
    <row r="42" spans="1:7" ht="15.75" customHeight="1" x14ac:dyDescent="0.3">
      <c r="C42" s="95">
        <v>732.92</v>
      </c>
      <c r="D42" s="88">
        <f t="shared" si="0"/>
        <v>-7.4543843006295608E-3</v>
      </c>
      <c r="E42" s="53"/>
    </row>
    <row r="43" spans="1:7" ht="16.5" customHeight="1" x14ac:dyDescent="0.3">
      <c r="C43" s="96">
        <v>740.09</v>
      </c>
      <c r="D43" s="89">
        <f t="shared" si="0"/>
        <v>2.2554777096369873E-3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14768.490000000003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738.42450000000019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76">
        <f>C46</f>
        <v>738.42450000000019</v>
      </c>
      <c r="C49" s="93">
        <f>-IF(C46&lt;=80,10%,IF(C46&lt;250,7.5%,5%))</f>
        <v>-0.05</v>
      </c>
      <c r="D49" s="81">
        <f>IF(C46&lt;=80,C46*0.9,IF(C46&lt;250,C46*0.925,C46*0.95))</f>
        <v>701.50327500000014</v>
      </c>
    </row>
    <row r="50" spans="1:6" ht="17.25" customHeight="1" x14ac:dyDescent="0.3">
      <c r="B50" s="477"/>
      <c r="C50" s="94">
        <f>IF(C46&lt;=80, 10%, IF(C46&lt;250, 7.5%, 5%))</f>
        <v>0.05</v>
      </c>
      <c r="D50" s="81">
        <f>IF(C46&lt;=80, C46*1.1, IF(C46&lt;250, C46*1.075, C46*1.05))</f>
        <v>775.34572500000024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8" zoomScale="55" zoomScaleNormal="40" zoomScalePageLayoutView="55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4" t="s">
        <v>44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45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x14ac:dyDescent="0.3">
      <c r="A15" s="98"/>
    </row>
    <row r="16" spans="1:9" ht="19.5" customHeight="1" x14ac:dyDescent="0.3">
      <c r="A16" s="517" t="s">
        <v>30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46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100" t="s">
        <v>32</v>
      </c>
      <c r="B18" s="516" t="s">
        <v>5</v>
      </c>
      <c r="C18" s="516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21" t="s">
        <v>138</v>
      </c>
      <c r="C20" s="521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21" t="s">
        <v>11</v>
      </c>
      <c r="C21" s="521"/>
      <c r="D21" s="521"/>
      <c r="E21" s="521"/>
      <c r="F21" s="521"/>
      <c r="G21" s="521"/>
      <c r="H21" s="521"/>
      <c r="I21" s="104"/>
    </row>
    <row r="22" spans="1:14" ht="26.25" customHeight="1" x14ac:dyDescent="0.4">
      <c r="A22" s="100" t="s">
        <v>36</v>
      </c>
      <c r="B22" s="105">
        <v>42864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42865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6" t="s">
        <v>131</v>
      </c>
      <c r="C26" s="516"/>
    </row>
    <row r="27" spans="1:14" ht="26.25" customHeight="1" x14ac:dyDescent="0.4">
      <c r="A27" s="109" t="s">
        <v>47</v>
      </c>
      <c r="B27" s="522" t="s">
        <v>130</v>
      </c>
      <c r="C27" s="522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48</v>
      </c>
      <c r="B29" s="111">
        <v>0</v>
      </c>
      <c r="C29" s="492" t="s">
        <v>49</v>
      </c>
      <c r="D29" s="493"/>
      <c r="E29" s="493"/>
      <c r="F29" s="493"/>
      <c r="G29" s="494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95" t="s">
        <v>52</v>
      </c>
      <c r="D31" s="496"/>
      <c r="E31" s="496"/>
      <c r="F31" s="496"/>
      <c r="G31" s="496"/>
      <c r="H31" s="497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95" t="s">
        <v>54</v>
      </c>
      <c r="D32" s="496"/>
      <c r="E32" s="496"/>
      <c r="F32" s="496"/>
      <c r="G32" s="496"/>
      <c r="H32" s="49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498" t="s">
        <v>58</v>
      </c>
      <c r="E36" s="523"/>
      <c r="F36" s="498" t="s">
        <v>59</v>
      </c>
      <c r="G36" s="49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36543652</v>
      </c>
      <c r="E38" s="133">
        <f>IF(ISBLANK(D38),"-",$D$48/$D$45*D38)</f>
        <v>31013737.242978331</v>
      </c>
      <c r="F38" s="132">
        <v>33990400</v>
      </c>
      <c r="G38" s="134">
        <f>IF(ISBLANK(F38),"-",$D$48/$F$45*F38)</f>
        <v>30868746.556557227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36878799</v>
      </c>
      <c r="E39" s="138">
        <f>IF(ISBLANK(D39),"-",$D$48/$D$45*D39)</f>
        <v>31298168.612776086</v>
      </c>
      <c r="F39" s="137">
        <v>34067802</v>
      </c>
      <c r="G39" s="139">
        <f>IF(ISBLANK(F39),"-",$D$48/$F$45*F39)</f>
        <v>30939040.013561871</v>
      </c>
      <c r="I39" s="500">
        <f>ABS((F43/D43*D42)-F42)/D42</f>
        <v>8.7473583936126306E-3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36764676</v>
      </c>
      <c r="E40" s="138">
        <f>IF(ISBLANK(D40),"-",$D$48/$D$45*D40)</f>
        <v>31201315.109043606</v>
      </c>
      <c r="F40" s="137">
        <v>33947853</v>
      </c>
      <c r="G40" s="139">
        <f>IF(ISBLANK(F40),"-",$D$48/$F$45*F40)</f>
        <v>30830107.04187832</v>
      </c>
      <c r="I40" s="500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36729042.333333336</v>
      </c>
      <c r="E42" s="148">
        <f>AVERAGE(E38:E41)</f>
        <v>31171073.654932678</v>
      </c>
      <c r="F42" s="147">
        <f>AVERAGE(F38:F41)</f>
        <v>34002018.333333336</v>
      </c>
      <c r="G42" s="149">
        <f>AVERAGE(G38:G41)</f>
        <v>30879297.870665807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17.71</v>
      </c>
      <c r="E43" s="140"/>
      <c r="F43" s="152">
        <v>16.55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17.71</v>
      </c>
      <c r="E44" s="155"/>
      <c r="F44" s="154">
        <f>F43*$B$34</f>
        <v>16.55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17.674580000000002</v>
      </c>
      <c r="E45" s="158"/>
      <c r="F45" s="157">
        <f>F44*$B$30/100</f>
        <v>16.5169</v>
      </c>
      <c r="H45" s="150"/>
    </row>
    <row r="46" spans="1:14" ht="19.5" customHeight="1" x14ac:dyDescent="0.3">
      <c r="A46" s="486" t="s">
        <v>77</v>
      </c>
      <c r="B46" s="487"/>
      <c r="C46" s="153" t="s">
        <v>78</v>
      </c>
      <c r="D46" s="159">
        <f>D45/$B$45</f>
        <v>0.17674580000000004</v>
      </c>
      <c r="E46" s="160"/>
      <c r="F46" s="161">
        <f>F45/$B$45</f>
        <v>0.16516900000000001</v>
      </c>
      <c r="H46" s="150"/>
    </row>
    <row r="47" spans="1:14" ht="27" customHeight="1" x14ac:dyDescent="0.4">
      <c r="A47" s="488"/>
      <c r="B47" s="489"/>
      <c r="C47" s="162" t="s">
        <v>79</v>
      </c>
      <c r="D47" s="163">
        <v>0.15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31025185.762799237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6.0407436468275112E-3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Each film coated tablet contains: Lamivudine USP 150 mg and Zidovudine USP 300 mg.
</v>
      </c>
    </row>
    <row r="56" spans="1:12" ht="26.25" customHeight="1" x14ac:dyDescent="0.4">
      <c r="A56" s="177" t="s">
        <v>86</v>
      </c>
      <c r="B56" s="178">
        <v>150</v>
      </c>
      <c r="C56" s="99" t="str">
        <f>B20</f>
        <v xml:space="preserve">LAMIVUDINE  </v>
      </c>
      <c r="H56" s="179"/>
    </row>
    <row r="57" spans="1:12" ht="18.75" x14ac:dyDescent="0.3">
      <c r="A57" s="176" t="s">
        <v>87</v>
      </c>
      <c r="B57" s="247">
        <f>Uniformity!C46</f>
        <v>738.42450000000019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503" t="s">
        <v>93</v>
      </c>
      <c r="D60" s="506">
        <v>738.16</v>
      </c>
      <c r="E60" s="182">
        <v>1</v>
      </c>
      <c r="F60" s="183">
        <v>29277262</v>
      </c>
      <c r="G60" s="248">
        <f>IF(ISBLANK(F60),"-",(F60/$D$50*$D$47*$B$68)*($B$57/$D$60))</f>
        <v>141.59989057894339</v>
      </c>
      <c r="H60" s="266">
        <f t="shared" ref="H60:H71" si="0">IF(ISBLANK(F60),"-",(G60/$B$56)*100)</f>
        <v>94.399927052628925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504"/>
      <c r="D61" s="507"/>
      <c r="E61" s="184">
        <v>2</v>
      </c>
      <c r="F61" s="137">
        <v>29319416</v>
      </c>
      <c r="G61" s="249">
        <f>IF(ISBLANK(F61),"-",(F61/$D$50*$D$47*$B$68)*($B$57/$D$60))</f>
        <v>141.80376899446819</v>
      </c>
      <c r="H61" s="267">
        <f t="shared" si="0"/>
        <v>94.535845996312133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504"/>
      <c r="D62" s="507"/>
      <c r="E62" s="184">
        <v>3</v>
      </c>
      <c r="F62" s="185">
        <v>29350436</v>
      </c>
      <c r="G62" s="249">
        <f>IF(ISBLANK(F62),"-",(F62/$D$50*$D$47*$B$68)*($B$57/$D$60))</f>
        <v>141.95379766196314</v>
      </c>
      <c r="H62" s="267">
        <f t="shared" si="0"/>
        <v>94.63586510797542</v>
      </c>
      <c r="L62" s="112"/>
    </row>
    <row r="63" spans="1:12" ht="27" customHeight="1" x14ac:dyDescent="0.4">
      <c r="A63" s="124" t="s">
        <v>96</v>
      </c>
      <c r="B63" s="125">
        <v>1</v>
      </c>
      <c r="C63" s="513"/>
      <c r="D63" s="508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503" t="s">
        <v>98</v>
      </c>
      <c r="D64" s="506">
        <v>735.34</v>
      </c>
      <c r="E64" s="182">
        <v>1</v>
      </c>
      <c r="F64" s="183">
        <v>29554677</v>
      </c>
      <c r="G64" s="248">
        <f>IF(ISBLANK(F64),"-",(F64/$D$50*$D$47*$B$68)*($B$57/$D$64))</f>
        <v>143.489787603731</v>
      </c>
      <c r="H64" s="266">
        <f t="shared" si="0"/>
        <v>95.65985840248733</v>
      </c>
    </row>
    <row r="65" spans="1:8" ht="26.25" customHeight="1" x14ac:dyDescent="0.4">
      <c r="A65" s="124" t="s">
        <v>99</v>
      </c>
      <c r="B65" s="125">
        <v>1</v>
      </c>
      <c r="C65" s="504"/>
      <c r="D65" s="507"/>
      <c r="E65" s="184">
        <v>2</v>
      </c>
      <c r="F65" s="137">
        <v>29557628</v>
      </c>
      <c r="G65" s="249">
        <f>IF(ISBLANK(F65),"-",(F65/$D$50*$D$47*$B$68)*($B$57/$D$64))</f>
        <v>143.50411489153112</v>
      </c>
      <c r="H65" s="267">
        <f t="shared" si="0"/>
        <v>95.669409927687411</v>
      </c>
    </row>
    <row r="66" spans="1:8" ht="26.25" customHeight="1" x14ac:dyDescent="0.4">
      <c r="A66" s="124" t="s">
        <v>100</v>
      </c>
      <c r="B66" s="125">
        <v>1</v>
      </c>
      <c r="C66" s="504"/>
      <c r="D66" s="507"/>
      <c r="E66" s="184">
        <v>3</v>
      </c>
      <c r="F66" s="137">
        <v>29240853</v>
      </c>
      <c r="G66" s="249">
        <f>IF(ISBLANK(F66),"-",(F66/$D$50*$D$47*$B$68)*($B$57/$D$64))</f>
        <v>141.96615264385807</v>
      </c>
      <c r="H66" s="267">
        <f t="shared" si="0"/>
        <v>94.644101762572035</v>
      </c>
    </row>
    <row r="67" spans="1:8" ht="27" customHeight="1" x14ac:dyDescent="0.4">
      <c r="A67" s="124" t="s">
        <v>101</v>
      </c>
      <c r="B67" s="125">
        <v>1</v>
      </c>
      <c r="C67" s="513"/>
      <c r="D67" s="508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1000</v>
      </c>
      <c r="C68" s="503" t="s">
        <v>103</v>
      </c>
      <c r="D68" s="506">
        <v>746.97</v>
      </c>
      <c r="E68" s="182">
        <v>1</v>
      </c>
      <c r="F68" s="183">
        <v>29842215</v>
      </c>
      <c r="G68" s="248">
        <f>IF(ISBLANK(F68),"-",(F68/$D$50*$D$47*$B$68)*($B$57/$D$68))</f>
        <v>142.62999309306065</v>
      </c>
      <c r="H68" s="267">
        <f t="shared" si="0"/>
        <v>95.086662062040432</v>
      </c>
    </row>
    <row r="69" spans="1:8" ht="27" customHeight="1" x14ac:dyDescent="0.4">
      <c r="A69" s="172" t="s">
        <v>104</v>
      </c>
      <c r="B69" s="189">
        <f>(D47*B68)/B56*B57</f>
        <v>738.42450000000019</v>
      </c>
      <c r="C69" s="504"/>
      <c r="D69" s="507"/>
      <c r="E69" s="184">
        <v>2</v>
      </c>
      <c r="F69" s="137">
        <v>29901990</v>
      </c>
      <c r="G69" s="249">
        <f>IF(ISBLANK(F69),"-",(F69/$D$50*$D$47*$B$68)*($B$57/$D$68))</f>
        <v>142.91568595591073</v>
      </c>
      <c r="H69" s="267">
        <f t="shared" si="0"/>
        <v>95.277123970607164</v>
      </c>
    </row>
    <row r="70" spans="1:8" ht="26.25" customHeight="1" x14ac:dyDescent="0.4">
      <c r="A70" s="509" t="s">
        <v>77</v>
      </c>
      <c r="B70" s="510"/>
      <c r="C70" s="504"/>
      <c r="D70" s="507"/>
      <c r="E70" s="184">
        <v>3</v>
      </c>
      <c r="F70" s="137">
        <v>29878953</v>
      </c>
      <c r="G70" s="249">
        <f>IF(ISBLANK(F70),"-",(F70/$D$50*$D$47*$B$68)*($B$57/$D$68))</f>
        <v>142.80558128871749</v>
      </c>
      <c r="H70" s="267">
        <f t="shared" si="0"/>
        <v>95.203720859144994</v>
      </c>
    </row>
    <row r="71" spans="1:8" ht="27" customHeight="1" x14ac:dyDescent="0.4">
      <c r="A71" s="511"/>
      <c r="B71" s="512"/>
      <c r="C71" s="505"/>
      <c r="D71" s="508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142.51875252357598</v>
      </c>
      <c r="H72" s="269">
        <f>AVERAGE(H60:H71)</f>
        <v>95.01250168238397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5.0512960042709944E-3</v>
      </c>
      <c r="H73" s="253">
        <f>STDEV(H60:H71)/H72</f>
        <v>5.0512960042709961E-3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105</v>
      </c>
      <c r="B76" s="197" t="s">
        <v>106</v>
      </c>
      <c r="C76" s="490" t="str">
        <f>B26</f>
        <v>LAMIVUDINE</v>
      </c>
      <c r="D76" s="490"/>
      <c r="E76" s="198" t="s">
        <v>107</v>
      </c>
      <c r="F76" s="198"/>
      <c r="G76" s="199">
        <f>H72</f>
        <v>95.01250168238397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4" t="str">
        <f>B26</f>
        <v>LAMIVUDINE</v>
      </c>
      <c r="C79" s="524"/>
    </row>
    <row r="80" spans="1:8" ht="26.25" customHeight="1" x14ac:dyDescent="0.4">
      <c r="A80" s="109" t="s">
        <v>47</v>
      </c>
      <c r="B80" s="524" t="str">
        <f>B27</f>
        <v>L42-1</v>
      </c>
      <c r="C80" s="524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48</v>
      </c>
      <c r="B82" s="111">
        <v>0</v>
      </c>
      <c r="C82" s="492" t="s">
        <v>49</v>
      </c>
      <c r="D82" s="493"/>
      <c r="E82" s="493"/>
      <c r="F82" s="493"/>
      <c r="G82" s="494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95" t="s">
        <v>110</v>
      </c>
      <c r="D84" s="496"/>
      <c r="E84" s="496"/>
      <c r="F84" s="496"/>
      <c r="G84" s="496"/>
      <c r="H84" s="497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95" t="s">
        <v>111</v>
      </c>
      <c r="D85" s="496"/>
      <c r="E85" s="496"/>
      <c r="F85" s="496"/>
      <c r="G85" s="496"/>
      <c r="H85" s="49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2" t="s">
        <v>58</v>
      </c>
      <c r="E89" s="203"/>
      <c r="F89" s="498" t="s">
        <v>59</v>
      </c>
      <c r="G89" s="499"/>
    </row>
    <row r="90" spans="1:12" ht="27" customHeight="1" x14ac:dyDescent="0.4">
      <c r="A90" s="124" t="s">
        <v>60</v>
      </c>
      <c r="B90" s="125">
        <v>1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06">
        <v>1</v>
      </c>
      <c r="D91" s="132">
        <v>36543652</v>
      </c>
      <c r="E91" s="133">
        <f>IF(ISBLANK(D91),"-",$D$101/$D$98*D91)</f>
        <v>34459708.047753699</v>
      </c>
      <c r="F91" s="132">
        <v>33990400</v>
      </c>
      <c r="G91" s="134">
        <f>IF(ISBLANK(F91),"-",$D$101/$F$98*F91)</f>
        <v>34298607.28506358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137">
        <v>36878799</v>
      </c>
      <c r="E92" s="138">
        <f>IF(ISBLANK(D92),"-",$D$101/$D$98*D92)</f>
        <v>34775742.903084531</v>
      </c>
      <c r="F92" s="137">
        <v>34067802</v>
      </c>
      <c r="G92" s="139">
        <f>IF(ISBLANK(F92),"-",$D$101/$F$98*F92)</f>
        <v>34376711.126179852</v>
      </c>
      <c r="I92" s="500">
        <f>ABS((F96/D96*D95)-F95)/D95</f>
        <v>8.7473583936126306E-3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137">
        <v>36764676</v>
      </c>
      <c r="E93" s="138">
        <f>IF(ISBLANK(D93),"-",$D$101/$D$98*D93)</f>
        <v>34668127.898937337</v>
      </c>
      <c r="F93" s="137">
        <v>33947853</v>
      </c>
      <c r="G93" s="139">
        <f>IF(ISBLANK(F93),"-",$D$101/$F$98*F93)</f>
        <v>34255674.490975909</v>
      </c>
      <c r="I93" s="500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>
        <f>AVERAGE(D91:D94)</f>
        <v>36729042.333333336</v>
      </c>
      <c r="E95" s="148">
        <f>AVERAGE(E91:E94)</f>
        <v>34634526.283258528</v>
      </c>
      <c r="F95" s="211">
        <f>AVERAGE(F91:F94)</f>
        <v>34002018.333333336</v>
      </c>
      <c r="G95" s="212">
        <f>AVERAGE(G91:G94)</f>
        <v>34310330.967406452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17.71</v>
      </c>
      <c r="E96" s="140"/>
      <c r="F96" s="152">
        <v>16.55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17.71</v>
      </c>
      <c r="E97" s="155"/>
      <c r="F97" s="154">
        <f>F96*$B$87</f>
        <v>16.55</v>
      </c>
    </row>
    <row r="98" spans="1:10" ht="19.5" customHeight="1" x14ac:dyDescent="0.3">
      <c r="A98" s="124" t="s">
        <v>75</v>
      </c>
      <c r="B98" s="217">
        <f>(B97/B96)*(B95/B94)*(B93/B92)*(B91/B90)*B89</f>
        <v>100</v>
      </c>
      <c r="C98" s="215" t="s">
        <v>114</v>
      </c>
      <c r="D98" s="218">
        <f>D97*$B$83/100</f>
        <v>17.674580000000002</v>
      </c>
      <c r="E98" s="158"/>
      <c r="F98" s="157">
        <f>F97*$B$83/100</f>
        <v>16.5169</v>
      </c>
    </row>
    <row r="99" spans="1:10" ht="19.5" customHeight="1" x14ac:dyDescent="0.3">
      <c r="A99" s="486" t="s">
        <v>77</v>
      </c>
      <c r="B99" s="501"/>
      <c r="C99" s="215" t="s">
        <v>115</v>
      </c>
      <c r="D99" s="219">
        <f>D98/$B$98</f>
        <v>0.17674580000000004</v>
      </c>
      <c r="E99" s="158"/>
      <c r="F99" s="161">
        <f>F98/$B$98</f>
        <v>0.16516900000000001</v>
      </c>
      <c r="G99" s="220"/>
      <c r="H99" s="150"/>
    </row>
    <row r="100" spans="1:10" ht="19.5" customHeight="1" x14ac:dyDescent="0.3">
      <c r="A100" s="488"/>
      <c r="B100" s="502"/>
      <c r="C100" s="215" t="s">
        <v>79</v>
      </c>
      <c r="D100" s="221">
        <f>$B$56/$B$116</f>
        <v>0.16666666666666666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>
        <f>AVERAGE(E91:E94,G91:G94)</f>
        <v>34472428.62533249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>
        <f>STDEV(E91:E94,G91:G94)/D103</f>
        <v>6.0407436468274834E-3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900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</v>
      </c>
      <c r="C108" s="275">
        <v>1</v>
      </c>
      <c r="D108" s="276">
        <v>33364202</v>
      </c>
      <c r="E108" s="250">
        <f t="shared" ref="E108:E113" si="1">IF(ISBLANK(D108),"-",D108/$D$103*$D$100*$B$116)</f>
        <v>145.1777695848875</v>
      </c>
      <c r="F108" s="277">
        <f t="shared" ref="F108:F113" si="2">IF(ISBLANK(D108), "-", (E108/$B$56)*100)</f>
        <v>96.785179723258324</v>
      </c>
    </row>
    <row r="109" spans="1:10" ht="26.25" customHeight="1" x14ac:dyDescent="0.4">
      <c r="A109" s="124" t="s">
        <v>94</v>
      </c>
      <c r="B109" s="125">
        <v>1</v>
      </c>
      <c r="C109" s="271">
        <v>2</v>
      </c>
      <c r="D109" s="273">
        <v>32521298</v>
      </c>
      <c r="E109" s="251">
        <f t="shared" si="1"/>
        <v>141.51003844316318</v>
      </c>
      <c r="F109" s="278">
        <f t="shared" si="2"/>
        <v>94.340025628775464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>
        <v>36367244</v>
      </c>
      <c r="E110" s="251">
        <f t="shared" si="1"/>
        <v>158.24491680842183</v>
      </c>
      <c r="F110" s="278">
        <f t="shared" si="2"/>
        <v>105.49661120561456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>
        <v>33295419</v>
      </c>
      <c r="E111" s="251">
        <f t="shared" si="1"/>
        <v>144.87847387491195</v>
      </c>
      <c r="F111" s="278">
        <f t="shared" si="2"/>
        <v>96.585649249941298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73">
        <v>31551157</v>
      </c>
      <c r="E112" s="251">
        <f t="shared" si="1"/>
        <v>137.28866049553977</v>
      </c>
      <c r="F112" s="278">
        <f t="shared" si="2"/>
        <v>91.525773663693172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74">
        <v>33325455</v>
      </c>
      <c r="E113" s="252">
        <f t="shared" si="1"/>
        <v>145.00916962742093</v>
      </c>
      <c r="F113" s="279">
        <f t="shared" si="2"/>
        <v>96.672779751613959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>
        <f>AVERAGE(E108:E113)</f>
        <v>145.3515048057242</v>
      </c>
      <c r="F115" s="281">
        <f>AVERAGE(F108:F113)</f>
        <v>96.901003203816117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34"/>
      <c r="D116" s="258" t="s">
        <v>83</v>
      </c>
      <c r="E116" s="256">
        <f>STDEV(E108:E113)/E115</f>
        <v>4.8294315472667361E-2</v>
      </c>
      <c r="F116" s="235">
        <f>STDEV(F108:F113)/F115</f>
        <v>4.8294315472667389E-2</v>
      </c>
      <c r="I116" s="98"/>
    </row>
    <row r="117" spans="1:10" ht="27" customHeight="1" x14ac:dyDescent="0.4">
      <c r="A117" s="486" t="s">
        <v>77</v>
      </c>
      <c r="B117" s="48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488"/>
      <c r="B118" s="489"/>
      <c r="C118" s="98"/>
      <c r="D118" s="260"/>
      <c r="E118" s="514" t="s">
        <v>122</v>
      </c>
      <c r="F118" s="515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137.28866049553977</v>
      </c>
      <c r="F119" s="282">
        <f>MIN(F108:F113)</f>
        <v>91.525773663693172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158.24491680842183</v>
      </c>
      <c r="F120" s="283">
        <f>MAX(F108:F113)</f>
        <v>105.49661120561456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490" t="str">
        <f>B26</f>
        <v>LAMIVUDINE</v>
      </c>
      <c r="D124" s="490"/>
      <c r="E124" s="198" t="s">
        <v>126</v>
      </c>
      <c r="F124" s="198"/>
      <c r="G124" s="284">
        <f>F115</f>
        <v>96.901003203816117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4">
        <f>MIN(F108:F113)</f>
        <v>91.525773663693172</v>
      </c>
      <c r="E125" s="209" t="s">
        <v>129</v>
      </c>
      <c r="F125" s="284">
        <f>MAX(F108:F113)</f>
        <v>105.49661120561456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1" t="s">
        <v>25</v>
      </c>
      <c r="C127" s="491"/>
      <c r="E127" s="204" t="s">
        <v>26</v>
      </c>
      <c r="F127" s="239"/>
      <c r="G127" s="491" t="s">
        <v>27</v>
      </c>
      <c r="H127" s="491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25" zoomScale="55" zoomScaleNormal="40" zoomScalePageLayoutView="55" workbookViewId="0">
      <selection activeCell="B33" sqref="B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4" t="s">
        <v>44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45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x14ac:dyDescent="0.3">
      <c r="A15" s="285"/>
    </row>
    <row r="16" spans="1:9" ht="19.5" customHeight="1" x14ac:dyDescent="0.3">
      <c r="A16" s="517" t="s">
        <v>30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46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287" t="s">
        <v>32</v>
      </c>
      <c r="B18" s="516" t="s">
        <v>5</v>
      </c>
      <c r="C18" s="516"/>
      <c r="D18" s="433"/>
      <c r="E18" s="288"/>
      <c r="F18" s="289"/>
      <c r="G18" s="289"/>
      <c r="H18" s="289"/>
    </row>
    <row r="19" spans="1:14" ht="26.25" customHeight="1" x14ac:dyDescent="0.4">
      <c r="A19" s="287" t="s">
        <v>33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34</v>
      </c>
      <c r="B20" s="521" t="s">
        <v>137</v>
      </c>
      <c r="C20" s="521"/>
      <c r="D20" s="289"/>
      <c r="E20" s="289"/>
      <c r="F20" s="289"/>
      <c r="G20" s="289"/>
      <c r="H20" s="289"/>
    </row>
    <row r="21" spans="1:14" ht="26.25" customHeight="1" x14ac:dyDescent="0.4">
      <c r="A21" s="287" t="s">
        <v>35</v>
      </c>
      <c r="B21" s="521" t="s">
        <v>11</v>
      </c>
      <c r="C21" s="521"/>
      <c r="D21" s="521"/>
      <c r="E21" s="521"/>
      <c r="F21" s="521"/>
      <c r="G21" s="521"/>
      <c r="H21" s="521"/>
      <c r="I21" s="291"/>
    </row>
    <row r="22" spans="1:14" ht="26.25" customHeight="1" x14ac:dyDescent="0.4">
      <c r="A22" s="287" t="s">
        <v>36</v>
      </c>
      <c r="B22" s="292">
        <v>42864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37</v>
      </c>
      <c r="B23" s="292">
        <v>42865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16" t="s">
        <v>135</v>
      </c>
      <c r="C26" s="516"/>
    </row>
    <row r="27" spans="1:14" ht="26.25" customHeight="1" x14ac:dyDescent="0.4">
      <c r="A27" s="296" t="s">
        <v>47</v>
      </c>
      <c r="B27" s="522" t="s">
        <v>135</v>
      </c>
      <c r="C27" s="522"/>
    </row>
    <row r="28" spans="1:14" ht="27" customHeight="1" x14ac:dyDescent="0.4">
      <c r="A28" s="296" t="s">
        <v>6</v>
      </c>
      <c r="B28" s="297">
        <v>100.8</v>
      </c>
    </row>
    <row r="29" spans="1:14" s="14" customFormat="1" ht="27" customHeight="1" x14ac:dyDescent="0.4">
      <c r="A29" s="296" t="s">
        <v>48</v>
      </c>
      <c r="B29" s="298"/>
      <c r="C29" s="492" t="s">
        <v>49</v>
      </c>
      <c r="D29" s="493"/>
      <c r="E29" s="493"/>
      <c r="F29" s="493"/>
      <c r="G29" s="494"/>
      <c r="I29" s="299"/>
      <c r="J29" s="299"/>
      <c r="K29" s="299"/>
      <c r="L29" s="299"/>
    </row>
    <row r="30" spans="1:14" s="14" customFormat="1" ht="19.5" customHeight="1" x14ac:dyDescent="0.3">
      <c r="A30" s="296" t="s">
        <v>50</v>
      </c>
      <c r="B30" s="300">
        <f>B28-B29</f>
        <v>100.8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51</v>
      </c>
      <c r="B31" s="303">
        <v>1</v>
      </c>
      <c r="C31" s="495" t="s">
        <v>52</v>
      </c>
      <c r="D31" s="496"/>
      <c r="E31" s="496"/>
      <c r="F31" s="496"/>
      <c r="G31" s="496"/>
      <c r="H31" s="497"/>
      <c r="I31" s="299"/>
      <c r="J31" s="299"/>
      <c r="K31" s="299"/>
      <c r="L31" s="299"/>
    </row>
    <row r="32" spans="1:14" s="14" customFormat="1" ht="27" customHeight="1" x14ac:dyDescent="0.4">
      <c r="A32" s="296" t="s">
        <v>53</v>
      </c>
      <c r="B32" s="303">
        <v>1</v>
      </c>
      <c r="C32" s="495" t="s">
        <v>54</v>
      </c>
      <c r="D32" s="496"/>
      <c r="E32" s="496"/>
      <c r="F32" s="496"/>
      <c r="G32" s="496"/>
      <c r="H32" s="49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55</v>
      </c>
      <c r="B34" s="308">
        <f>B31/B32</f>
        <v>1</v>
      </c>
      <c r="C34" s="286" t="s">
        <v>56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57</v>
      </c>
      <c r="B36" s="310">
        <v>100</v>
      </c>
      <c r="C36" s="286"/>
      <c r="D36" s="498" t="s">
        <v>58</v>
      </c>
      <c r="E36" s="523"/>
      <c r="F36" s="498" t="s">
        <v>59</v>
      </c>
      <c r="G36" s="499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60</v>
      </c>
      <c r="B37" s="312">
        <v>1</v>
      </c>
      <c r="C37" s="313" t="s">
        <v>61</v>
      </c>
      <c r="D37" s="314" t="s">
        <v>62</v>
      </c>
      <c r="E37" s="315" t="s">
        <v>63</v>
      </c>
      <c r="F37" s="314" t="s">
        <v>62</v>
      </c>
      <c r="G37" s="316" t="s">
        <v>63</v>
      </c>
      <c r="I37" s="317" t="s">
        <v>64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65</v>
      </c>
      <c r="B38" s="312">
        <v>1</v>
      </c>
      <c r="C38" s="318">
        <v>1</v>
      </c>
      <c r="D38" s="319">
        <v>57812516</v>
      </c>
      <c r="E38" s="320">
        <f>IF(ISBLANK(D38),"-",$D$48/$D$45*D38)</f>
        <v>53138066.560781203</v>
      </c>
      <c r="F38" s="319">
        <v>52851257</v>
      </c>
      <c r="G38" s="321">
        <f>IF(ISBLANK(F38),"-",$D$48/$F$45*F38)</f>
        <v>53284352.214801908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66</v>
      </c>
      <c r="B39" s="312">
        <v>1</v>
      </c>
      <c r="C39" s="323">
        <v>2</v>
      </c>
      <c r="D39" s="324">
        <v>58353665</v>
      </c>
      <c r="E39" s="325">
        <f>IF(ISBLANK(D39),"-",$D$48/$D$45*D39)</f>
        <v>53635460.785611339</v>
      </c>
      <c r="F39" s="324">
        <v>52948771</v>
      </c>
      <c r="G39" s="326">
        <f>IF(ISBLANK(F39),"-",$D$48/$F$45*F39)</f>
        <v>53382665.303587556</v>
      </c>
      <c r="I39" s="500">
        <f>ABS((F43/D43*D42)-F42)/D42</f>
        <v>1.9514250290966796E-3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67</v>
      </c>
      <c r="B40" s="312">
        <v>1</v>
      </c>
      <c r="C40" s="323">
        <v>3</v>
      </c>
      <c r="D40" s="324">
        <v>58191969</v>
      </c>
      <c r="E40" s="325">
        <f>IF(ISBLANK(D40),"-",$D$48/$D$45*D40)</f>
        <v>53486838.767316684</v>
      </c>
      <c r="F40" s="324">
        <v>52817495</v>
      </c>
      <c r="G40" s="326">
        <f>IF(ISBLANK(F40),"-",$D$48/$F$45*F40)</f>
        <v>53250313.548522383</v>
      </c>
      <c r="I40" s="500"/>
      <c r="L40" s="304"/>
      <c r="M40" s="304"/>
      <c r="N40" s="327"/>
    </row>
    <row r="41" spans="1:14" ht="27" customHeight="1" x14ac:dyDescent="0.4">
      <c r="A41" s="311" t="s">
        <v>68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69</v>
      </c>
      <c r="B42" s="312">
        <v>1</v>
      </c>
      <c r="C42" s="333" t="s">
        <v>70</v>
      </c>
      <c r="D42" s="334">
        <f>AVERAGE(D38:D41)</f>
        <v>58119383.333333336</v>
      </c>
      <c r="E42" s="335">
        <f>AVERAGE(E38:E41)</f>
        <v>53420122.03790307</v>
      </c>
      <c r="F42" s="334">
        <f>AVERAGE(F38:F41)</f>
        <v>52872507.666666664</v>
      </c>
      <c r="G42" s="336">
        <f>AVERAGE(G38:G41)</f>
        <v>53305777.022303946</v>
      </c>
      <c r="H42" s="337"/>
    </row>
    <row r="43" spans="1:14" ht="26.25" customHeight="1" x14ac:dyDescent="0.4">
      <c r="A43" s="311" t="s">
        <v>71</v>
      </c>
      <c r="B43" s="312">
        <v>1</v>
      </c>
      <c r="C43" s="338" t="s">
        <v>72</v>
      </c>
      <c r="D43" s="339">
        <v>32.380000000000003</v>
      </c>
      <c r="E43" s="327"/>
      <c r="F43" s="339">
        <v>29.52</v>
      </c>
      <c r="H43" s="337"/>
    </row>
    <row r="44" spans="1:14" ht="26.25" customHeight="1" x14ac:dyDescent="0.4">
      <c r="A44" s="311" t="s">
        <v>73</v>
      </c>
      <c r="B44" s="312">
        <v>1</v>
      </c>
      <c r="C44" s="340" t="s">
        <v>74</v>
      </c>
      <c r="D44" s="341">
        <f>D43*$B$34</f>
        <v>32.380000000000003</v>
      </c>
      <c r="E44" s="342"/>
      <c r="F44" s="341">
        <f>F43*$B$34</f>
        <v>29.52</v>
      </c>
      <c r="H44" s="337"/>
    </row>
    <row r="45" spans="1:14" ht="19.5" customHeight="1" x14ac:dyDescent="0.3">
      <c r="A45" s="311" t="s">
        <v>75</v>
      </c>
      <c r="B45" s="343">
        <f>(B44/B43)*(B42/B41)*(B40/B39)*(B38/B37)*B36</f>
        <v>100</v>
      </c>
      <c r="C45" s="340" t="s">
        <v>76</v>
      </c>
      <c r="D45" s="344">
        <f>D44*$B$30/100</f>
        <v>32.639040000000001</v>
      </c>
      <c r="E45" s="345"/>
      <c r="F45" s="344">
        <f>F44*$B$30/100</f>
        <v>29.756160000000001</v>
      </c>
      <c r="H45" s="337"/>
    </row>
    <row r="46" spans="1:14" ht="19.5" customHeight="1" x14ac:dyDescent="0.3">
      <c r="A46" s="486" t="s">
        <v>77</v>
      </c>
      <c r="B46" s="487"/>
      <c r="C46" s="340" t="s">
        <v>78</v>
      </c>
      <c r="D46" s="346">
        <f>D45/$B$45</f>
        <v>0.32639040000000002</v>
      </c>
      <c r="E46" s="347"/>
      <c r="F46" s="348">
        <f>F45/$B$45</f>
        <v>0.29756160000000004</v>
      </c>
      <c r="H46" s="337"/>
    </row>
    <row r="47" spans="1:14" ht="27" customHeight="1" x14ac:dyDescent="0.4">
      <c r="A47" s="488"/>
      <c r="B47" s="489"/>
      <c r="C47" s="349" t="s">
        <v>79</v>
      </c>
      <c r="D47" s="350">
        <v>0.3</v>
      </c>
      <c r="E47" s="351"/>
      <c r="F47" s="347"/>
      <c r="H47" s="337"/>
    </row>
    <row r="48" spans="1:14" ht="18.75" x14ac:dyDescent="0.3">
      <c r="C48" s="352" t="s">
        <v>80</v>
      </c>
      <c r="D48" s="344">
        <f>D47*$B$45</f>
        <v>30</v>
      </c>
      <c r="F48" s="353"/>
      <c r="H48" s="337"/>
    </row>
    <row r="49" spans="1:12" ht="19.5" customHeight="1" x14ac:dyDescent="0.3">
      <c r="C49" s="354" t="s">
        <v>81</v>
      </c>
      <c r="D49" s="355">
        <f>D48/B34</f>
        <v>30</v>
      </c>
      <c r="F49" s="353"/>
      <c r="H49" s="337"/>
    </row>
    <row r="50" spans="1:12" ht="18.75" x14ac:dyDescent="0.3">
      <c r="C50" s="309" t="s">
        <v>82</v>
      </c>
      <c r="D50" s="356">
        <f>AVERAGE(E38:E41,G38:G41)</f>
        <v>53362949.530103505</v>
      </c>
      <c r="F50" s="357"/>
      <c r="H50" s="337"/>
    </row>
    <row r="51" spans="1:12" ht="18.75" x14ac:dyDescent="0.3">
      <c r="C51" s="311" t="s">
        <v>83</v>
      </c>
      <c r="D51" s="358">
        <f>STDEV(E38:E41,G38:G41)/D50</f>
        <v>3.346331022609509E-3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84</v>
      </c>
    </row>
    <row r="55" spans="1:12" ht="18.75" x14ac:dyDescent="0.3">
      <c r="A55" s="286" t="s">
        <v>85</v>
      </c>
      <c r="B55" s="363" t="str">
        <f>B21</f>
        <v xml:space="preserve">Each film coated tablet contains: Lamivudine USP 150 mg and Zidovudine USP 300 mg.
</v>
      </c>
    </row>
    <row r="56" spans="1:12" ht="26.25" customHeight="1" x14ac:dyDescent="0.4">
      <c r="A56" s="364" t="s">
        <v>86</v>
      </c>
      <c r="B56" s="365">
        <v>300</v>
      </c>
      <c r="C56" s="286" t="str">
        <f>B20</f>
        <v xml:space="preserve"> ZIDOVUDINE </v>
      </c>
      <c r="H56" s="366"/>
    </row>
    <row r="57" spans="1:12" ht="18.75" x14ac:dyDescent="0.3">
      <c r="A57" s="363" t="s">
        <v>87</v>
      </c>
      <c r="B57" s="434">
        <f>Uniformity!C46</f>
        <v>738.42450000000019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88</v>
      </c>
      <c r="B59" s="310">
        <v>100</v>
      </c>
      <c r="C59" s="286"/>
      <c r="D59" s="367" t="s">
        <v>89</v>
      </c>
      <c r="E59" s="368" t="s">
        <v>61</v>
      </c>
      <c r="F59" s="368" t="s">
        <v>62</v>
      </c>
      <c r="G59" s="368" t="s">
        <v>90</v>
      </c>
      <c r="H59" s="313" t="s">
        <v>91</v>
      </c>
      <c r="L59" s="299"/>
    </row>
    <row r="60" spans="1:12" s="14" customFormat="1" ht="26.25" customHeight="1" x14ac:dyDescent="0.4">
      <c r="A60" s="311" t="s">
        <v>92</v>
      </c>
      <c r="B60" s="312">
        <v>5</v>
      </c>
      <c r="C60" s="503" t="s">
        <v>93</v>
      </c>
      <c r="D60" s="506">
        <v>738.16</v>
      </c>
      <c r="E60" s="369">
        <v>1</v>
      </c>
      <c r="F60" s="370">
        <v>52307620</v>
      </c>
      <c r="G60" s="435">
        <f>IF(ISBLANK(F60),"-",(F60/$D$50*$D$47*$B$68)*($B$57/$D$60))</f>
        <v>294.17243708385359</v>
      </c>
      <c r="H60" s="453">
        <f t="shared" ref="H60:H71" si="0">IF(ISBLANK(F60),"-",(G60/$B$56)*100)</f>
        <v>98.057479027951203</v>
      </c>
      <c r="L60" s="299"/>
    </row>
    <row r="61" spans="1:12" s="14" customFormat="1" ht="26.25" customHeight="1" x14ac:dyDescent="0.4">
      <c r="A61" s="311" t="s">
        <v>94</v>
      </c>
      <c r="B61" s="312">
        <v>50</v>
      </c>
      <c r="C61" s="504"/>
      <c r="D61" s="507"/>
      <c r="E61" s="371">
        <v>2</v>
      </c>
      <c r="F61" s="324">
        <v>52384438</v>
      </c>
      <c r="G61" s="436">
        <f>IF(ISBLANK(F61),"-",(F61/$D$50*$D$47*$B$68)*($B$57/$D$60))</f>
        <v>294.60445326566247</v>
      </c>
      <c r="H61" s="454">
        <f t="shared" si="0"/>
        <v>98.201484421887486</v>
      </c>
      <c r="L61" s="299"/>
    </row>
    <row r="62" spans="1:12" s="14" customFormat="1" ht="26.25" customHeight="1" x14ac:dyDescent="0.4">
      <c r="A62" s="311" t="s">
        <v>95</v>
      </c>
      <c r="B62" s="312">
        <v>1</v>
      </c>
      <c r="C62" s="504"/>
      <c r="D62" s="507"/>
      <c r="E62" s="371">
        <v>3</v>
      </c>
      <c r="F62" s="372">
        <v>52465067</v>
      </c>
      <c r="G62" s="436">
        <f>IF(ISBLANK(F62),"-",(F62/$D$50*$D$47*$B$68)*($B$57/$D$60))</f>
        <v>295.05790210217299</v>
      </c>
      <c r="H62" s="454">
        <f t="shared" si="0"/>
        <v>98.352634034057658</v>
      </c>
      <c r="L62" s="299"/>
    </row>
    <row r="63" spans="1:12" ht="27" customHeight="1" x14ac:dyDescent="0.4">
      <c r="A63" s="311" t="s">
        <v>96</v>
      </c>
      <c r="B63" s="312">
        <v>1</v>
      </c>
      <c r="C63" s="513"/>
      <c r="D63" s="508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97</v>
      </c>
      <c r="B64" s="312">
        <v>1</v>
      </c>
      <c r="C64" s="503" t="s">
        <v>98</v>
      </c>
      <c r="D64" s="506">
        <v>735.34</v>
      </c>
      <c r="E64" s="369">
        <v>1</v>
      </c>
      <c r="F64" s="370">
        <v>52848105</v>
      </c>
      <c r="G64" s="435">
        <f>IF(ISBLANK(F64),"-",(F64/$D$50*$D$47*$B$68)*($B$57/$D$64))</f>
        <v>298.35186327101013</v>
      </c>
      <c r="H64" s="453">
        <f t="shared" si="0"/>
        <v>99.45062109033671</v>
      </c>
    </row>
    <row r="65" spans="1:8" ht="26.25" customHeight="1" x14ac:dyDescent="0.4">
      <c r="A65" s="311" t="s">
        <v>99</v>
      </c>
      <c r="B65" s="312">
        <v>1</v>
      </c>
      <c r="C65" s="504"/>
      <c r="D65" s="507"/>
      <c r="E65" s="371">
        <v>2</v>
      </c>
      <c r="F65" s="324">
        <v>52868325</v>
      </c>
      <c r="G65" s="436">
        <f>IF(ISBLANK(F65),"-",(F65/$D$50*$D$47*$B$68)*($B$57/$D$64))</f>
        <v>298.46601447236992</v>
      </c>
      <c r="H65" s="454">
        <f t="shared" si="0"/>
        <v>99.488671490789969</v>
      </c>
    </row>
    <row r="66" spans="1:8" ht="26.25" customHeight="1" x14ac:dyDescent="0.4">
      <c r="A66" s="311" t="s">
        <v>100</v>
      </c>
      <c r="B66" s="312">
        <v>1</v>
      </c>
      <c r="C66" s="504"/>
      <c r="D66" s="507"/>
      <c r="E66" s="371">
        <v>3</v>
      </c>
      <c r="F66" s="324">
        <v>52320090</v>
      </c>
      <c r="G66" s="436">
        <f>IF(ISBLANK(F66),"-",(F66/$D$50*$D$47*$B$68)*($B$57/$D$64))</f>
        <v>295.37097570493671</v>
      </c>
      <c r="H66" s="454">
        <f t="shared" si="0"/>
        <v>98.45699190164558</v>
      </c>
    </row>
    <row r="67" spans="1:8" ht="27" customHeight="1" x14ac:dyDescent="0.4">
      <c r="A67" s="311" t="s">
        <v>101</v>
      </c>
      <c r="B67" s="312">
        <v>1</v>
      </c>
      <c r="C67" s="513"/>
      <c r="D67" s="508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102</v>
      </c>
      <c r="B68" s="375">
        <f>(B67/B66)*(B65/B64)*(B63/B62)*(B61/B60)*B59</f>
        <v>1000</v>
      </c>
      <c r="C68" s="503" t="s">
        <v>103</v>
      </c>
      <c r="D68" s="506">
        <v>746.97</v>
      </c>
      <c r="E68" s="369">
        <v>1</v>
      </c>
      <c r="F68" s="370">
        <v>53359920</v>
      </c>
      <c r="G68" s="435">
        <f>IF(ISBLANK(F68),"-",(F68/$D$50*$D$47*$B$68)*($B$57/$D$68))</f>
        <v>296.55109765189121</v>
      </c>
      <c r="H68" s="454">
        <f t="shared" si="0"/>
        <v>98.850365883963747</v>
      </c>
    </row>
    <row r="69" spans="1:8" ht="27" customHeight="1" x14ac:dyDescent="0.4">
      <c r="A69" s="359" t="s">
        <v>104</v>
      </c>
      <c r="B69" s="376">
        <f>(D47*B68)/B56*B57</f>
        <v>738.42450000000019</v>
      </c>
      <c r="C69" s="504"/>
      <c r="D69" s="507"/>
      <c r="E69" s="371">
        <v>2</v>
      </c>
      <c r="F69" s="324">
        <v>53486052</v>
      </c>
      <c r="G69" s="436">
        <f>IF(ISBLANK(F69),"-",(F69/$D$50*$D$47*$B$68)*($B$57/$D$68))</f>
        <v>297.25208414229502</v>
      </c>
      <c r="H69" s="454">
        <f t="shared" si="0"/>
        <v>99.084028047431673</v>
      </c>
    </row>
    <row r="70" spans="1:8" ht="26.25" customHeight="1" x14ac:dyDescent="0.4">
      <c r="A70" s="509" t="s">
        <v>77</v>
      </c>
      <c r="B70" s="510"/>
      <c r="C70" s="504"/>
      <c r="D70" s="507"/>
      <c r="E70" s="371">
        <v>3</v>
      </c>
      <c r="F70" s="324">
        <v>53461607</v>
      </c>
      <c r="G70" s="436">
        <f>IF(ISBLANK(F70),"-",(F70/$D$50*$D$47*$B$68)*($B$57/$D$68))</f>
        <v>297.11622952365798</v>
      </c>
      <c r="H70" s="454">
        <f t="shared" si="0"/>
        <v>99.03874317455265</v>
      </c>
    </row>
    <row r="71" spans="1:8" ht="27" customHeight="1" x14ac:dyDescent="0.4">
      <c r="A71" s="511"/>
      <c r="B71" s="512"/>
      <c r="C71" s="505"/>
      <c r="D71" s="508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70</v>
      </c>
      <c r="G72" s="441">
        <f>AVERAGE(G60:G71)</f>
        <v>296.32700635753895</v>
      </c>
      <c r="H72" s="456">
        <f>AVERAGE(H60:H71)</f>
        <v>98.775668785846307</v>
      </c>
    </row>
    <row r="73" spans="1:8" ht="26.25" customHeight="1" x14ac:dyDescent="0.4">
      <c r="C73" s="377"/>
      <c r="D73" s="377"/>
      <c r="E73" s="377"/>
      <c r="F73" s="380" t="s">
        <v>83</v>
      </c>
      <c r="G73" s="440">
        <f>STDEV(G60:G71)/G72</f>
        <v>5.38072057816316E-3</v>
      </c>
      <c r="H73" s="440">
        <f>STDEV(H60:H71)/H72</f>
        <v>5.3807205781631453E-3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105</v>
      </c>
      <c r="B76" s="384" t="s">
        <v>106</v>
      </c>
      <c r="C76" s="490" t="str">
        <f>B26</f>
        <v>ZIDOVUDINE</v>
      </c>
      <c r="D76" s="490"/>
      <c r="E76" s="385" t="s">
        <v>107</v>
      </c>
      <c r="F76" s="385"/>
      <c r="G76" s="386">
        <f>H72</f>
        <v>98.775668785846307</v>
      </c>
      <c r="H76" s="387"/>
    </row>
    <row r="77" spans="1:8" ht="18.75" x14ac:dyDescent="0.3">
      <c r="A77" s="294" t="s">
        <v>108</v>
      </c>
      <c r="B77" s="294" t="s">
        <v>109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24" t="str">
        <f>B26</f>
        <v>ZIDOVUDINE</v>
      </c>
      <c r="C79" s="524"/>
    </row>
    <row r="80" spans="1:8" ht="26.25" customHeight="1" x14ac:dyDescent="0.4">
      <c r="A80" s="296" t="s">
        <v>47</v>
      </c>
      <c r="B80" s="524" t="s">
        <v>136</v>
      </c>
      <c r="C80" s="524"/>
    </row>
    <row r="81" spans="1:12" ht="27" customHeight="1" x14ac:dyDescent="0.4">
      <c r="A81" s="296" t="s">
        <v>6</v>
      </c>
      <c r="B81" s="388">
        <f>B28</f>
        <v>100.8</v>
      </c>
    </row>
    <row r="82" spans="1:12" s="14" customFormat="1" ht="27" customHeight="1" x14ac:dyDescent="0.4">
      <c r="A82" s="296" t="s">
        <v>48</v>
      </c>
      <c r="B82" s="298">
        <v>0</v>
      </c>
      <c r="C82" s="492" t="s">
        <v>49</v>
      </c>
      <c r="D82" s="493"/>
      <c r="E82" s="493"/>
      <c r="F82" s="493"/>
      <c r="G82" s="494"/>
      <c r="I82" s="299"/>
      <c r="J82" s="299"/>
      <c r="K82" s="299"/>
      <c r="L82" s="299"/>
    </row>
    <row r="83" spans="1:12" s="14" customFormat="1" ht="19.5" customHeight="1" x14ac:dyDescent="0.3">
      <c r="A83" s="296" t="s">
        <v>50</v>
      </c>
      <c r="B83" s="300">
        <f>B81-B82</f>
        <v>100.8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51</v>
      </c>
      <c r="B84" s="303">
        <v>1</v>
      </c>
      <c r="C84" s="495" t="s">
        <v>110</v>
      </c>
      <c r="D84" s="496"/>
      <c r="E84" s="496"/>
      <c r="F84" s="496"/>
      <c r="G84" s="496"/>
      <c r="H84" s="497"/>
      <c r="I84" s="299"/>
      <c r="J84" s="299"/>
      <c r="K84" s="299"/>
      <c r="L84" s="299"/>
    </row>
    <row r="85" spans="1:12" s="14" customFormat="1" ht="27" customHeight="1" x14ac:dyDescent="0.4">
      <c r="A85" s="296" t="s">
        <v>53</v>
      </c>
      <c r="B85" s="303">
        <v>1</v>
      </c>
      <c r="C85" s="495" t="s">
        <v>111</v>
      </c>
      <c r="D85" s="496"/>
      <c r="E85" s="496"/>
      <c r="F85" s="496"/>
      <c r="G85" s="496"/>
      <c r="H85" s="49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55</v>
      </c>
      <c r="B87" s="308">
        <f>B84/B85</f>
        <v>1</v>
      </c>
      <c r="C87" s="286" t="s">
        <v>56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57</v>
      </c>
      <c r="B89" s="310">
        <v>100</v>
      </c>
      <c r="D89" s="389" t="s">
        <v>58</v>
      </c>
      <c r="E89" s="390"/>
      <c r="F89" s="498" t="s">
        <v>59</v>
      </c>
      <c r="G89" s="499"/>
    </row>
    <row r="90" spans="1:12" ht="27" customHeight="1" x14ac:dyDescent="0.4">
      <c r="A90" s="311" t="s">
        <v>60</v>
      </c>
      <c r="B90" s="312">
        <v>1</v>
      </c>
      <c r="C90" s="391" t="s">
        <v>61</v>
      </c>
      <c r="D90" s="314" t="s">
        <v>62</v>
      </c>
      <c r="E90" s="315" t="s">
        <v>63</v>
      </c>
      <c r="F90" s="314" t="s">
        <v>62</v>
      </c>
      <c r="G90" s="392" t="s">
        <v>63</v>
      </c>
      <c r="I90" s="317" t="s">
        <v>64</v>
      </c>
    </row>
    <row r="91" spans="1:12" ht="26.25" customHeight="1" x14ac:dyDescent="0.4">
      <c r="A91" s="311" t="s">
        <v>65</v>
      </c>
      <c r="B91" s="312">
        <v>1</v>
      </c>
      <c r="C91" s="393">
        <v>1</v>
      </c>
      <c r="D91" s="319">
        <v>57812516</v>
      </c>
      <c r="E91" s="320">
        <f>IF(ISBLANK(D91),"-",$D$101/$D$98*D91)</f>
        <v>59042296.178645767</v>
      </c>
      <c r="F91" s="319">
        <v>52851257</v>
      </c>
      <c r="G91" s="321">
        <f>IF(ISBLANK(F91),"-",$D$101/$F$98*F91)</f>
        <v>59204835.794224337</v>
      </c>
      <c r="I91" s="322"/>
    </row>
    <row r="92" spans="1:12" ht="26.25" customHeight="1" x14ac:dyDescent="0.4">
      <c r="A92" s="311" t="s">
        <v>66</v>
      </c>
      <c r="B92" s="312">
        <v>1</v>
      </c>
      <c r="C92" s="378">
        <v>2</v>
      </c>
      <c r="D92" s="324">
        <v>58353665</v>
      </c>
      <c r="E92" s="325">
        <f>IF(ISBLANK(D92),"-",$D$101/$D$98*D92)</f>
        <v>59594956.428457037</v>
      </c>
      <c r="F92" s="324">
        <v>52948771</v>
      </c>
      <c r="G92" s="326">
        <f>IF(ISBLANK(F92),"-",$D$101/$F$98*F92)</f>
        <v>59314072.559541725</v>
      </c>
      <c r="I92" s="500">
        <f>ABS((F96/D96*D95)-F95)/D95</f>
        <v>1.9514250290966796E-3</v>
      </c>
    </row>
    <row r="93" spans="1:12" ht="26.25" customHeight="1" x14ac:dyDescent="0.4">
      <c r="A93" s="311" t="s">
        <v>67</v>
      </c>
      <c r="B93" s="312">
        <v>1</v>
      </c>
      <c r="C93" s="378">
        <v>3</v>
      </c>
      <c r="D93" s="324">
        <v>58191969</v>
      </c>
      <c r="E93" s="325">
        <f>IF(ISBLANK(D93),"-",$D$101/$D$98*D93)</f>
        <v>59429820.852574088</v>
      </c>
      <c r="F93" s="324">
        <v>52817495</v>
      </c>
      <c r="G93" s="326">
        <f>IF(ISBLANK(F93),"-",$D$101/$F$98*F93)</f>
        <v>59167015.053913757</v>
      </c>
      <c r="I93" s="500"/>
    </row>
    <row r="94" spans="1:12" ht="27" customHeight="1" x14ac:dyDescent="0.4">
      <c r="A94" s="311" t="s">
        <v>68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69</v>
      </c>
      <c r="B95" s="312">
        <v>1</v>
      </c>
      <c r="C95" s="396" t="s">
        <v>70</v>
      </c>
      <c r="D95" s="397">
        <f>AVERAGE(D91:D94)</f>
        <v>58119383.333333336</v>
      </c>
      <c r="E95" s="335">
        <f>AVERAGE(E91:E94)</f>
        <v>59355691.153225631</v>
      </c>
      <c r="F95" s="398">
        <f>AVERAGE(F91:F94)</f>
        <v>52872507.666666664</v>
      </c>
      <c r="G95" s="399">
        <f>AVERAGE(G91:G94)</f>
        <v>59228641.135893263</v>
      </c>
    </row>
    <row r="96" spans="1:12" ht="26.25" customHeight="1" x14ac:dyDescent="0.4">
      <c r="A96" s="311" t="s">
        <v>71</v>
      </c>
      <c r="B96" s="297">
        <v>1</v>
      </c>
      <c r="C96" s="400" t="s">
        <v>112</v>
      </c>
      <c r="D96" s="401">
        <v>32.380000000000003</v>
      </c>
      <c r="E96" s="327"/>
      <c r="F96" s="339">
        <v>29.52</v>
      </c>
    </row>
    <row r="97" spans="1:10" ht="26.25" customHeight="1" x14ac:dyDescent="0.4">
      <c r="A97" s="311" t="s">
        <v>73</v>
      </c>
      <c r="B97" s="297">
        <v>1</v>
      </c>
      <c r="C97" s="402" t="s">
        <v>113</v>
      </c>
      <c r="D97" s="403">
        <f>D96*$B$87</f>
        <v>32.380000000000003</v>
      </c>
      <c r="E97" s="342"/>
      <c r="F97" s="341">
        <f>F96*$B$87</f>
        <v>29.52</v>
      </c>
    </row>
    <row r="98" spans="1:10" ht="19.5" customHeight="1" x14ac:dyDescent="0.3">
      <c r="A98" s="311" t="s">
        <v>75</v>
      </c>
      <c r="B98" s="404">
        <f>(B97/B96)*(B95/B94)*(B93/B92)*(B91/B90)*B89</f>
        <v>100</v>
      </c>
      <c r="C98" s="402" t="s">
        <v>114</v>
      </c>
      <c r="D98" s="405">
        <f>D97*$B$83/100</f>
        <v>32.639040000000001</v>
      </c>
      <c r="E98" s="345"/>
      <c r="F98" s="344">
        <f>F97*$B$83/100</f>
        <v>29.756160000000001</v>
      </c>
    </row>
    <row r="99" spans="1:10" ht="19.5" customHeight="1" x14ac:dyDescent="0.3">
      <c r="A99" s="486" t="s">
        <v>77</v>
      </c>
      <c r="B99" s="501"/>
      <c r="C99" s="402" t="s">
        <v>115</v>
      </c>
      <c r="D99" s="406">
        <f>D98/$B$98</f>
        <v>0.32639040000000002</v>
      </c>
      <c r="E99" s="345"/>
      <c r="F99" s="348">
        <f>F98/$B$98</f>
        <v>0.29756160000000004</v>
      </c>
      <c r="G99" s="407"/>
      <c r="H99" s="337"/>
    </row>
    <row r="100" spans="1:10" ht="19.5" customHeight="1" x14ac:dyDescent="0.3">
      <c r="A100" s="488"/>
      <c r="B100" s="502"/>
      <c r="C100" s="402" t="s">
        <v>79</v>
      </c>
      <c r="D100" s="408">
        <f>$B$56/$B$116</f>
        <v>0.33333333333333331</v>
      </c>
      <c r="F100" s="353"/>
      <c r="G100" s="409"/>
      <c r="H100" s="337"/>
    </row>
    <row r="101" spans="1:10" ht="18.75" x14ac:dyDescent="0.3">
      <c r="C101" s="402" t="s">
        <v>80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">
      <c r="C102" s="410" t="s">
        <v>81</v>
      </c>
      <c r="D102" s="411">
        <f>D101/B34</f>
        <v>33.333333333333329</v>
      </c>
      <c r="F102" s="357"/>
      <c r="G102" s="407"/>
      <c r="H102" s="337"/>
      <c r="J102" s="412"/>
    </row>
    <row r="103" spans="1:10" ht="18.75" x14ac:dyDescent="0.3">
      <c r="C103" s="413" t="s">
        <v>116</v>
      </c>
      <c r="D103" s="414">
        <f>AVERAGE(E91:E94,G91:G94)</f>
        <v>59292166.14455945</v>
      </c>
      <c r="F103" s="357"/>
      <c r="G103" s="415"/>
      <c r="H103" s="337"/>
      <c r="J103" s="416"/>
    </row>
    <row r="104" spans="1:10" ht="18.75" x14ac:dyDescent="0.3">
      <c r="C104" s="380" t="s">
        <v>83</v>
      </c>
      <c r="D104" s="417">
        <f>STDEV(E91:E94,G91:G94)/D103</f>
        <v>3.3463310226095294E-3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117</v>
      </c>
      <c r="B107" s="310">
        <v>900</v>
      </c>
      <c r="C107" s="457" t="s">
        <v>118</v>
      </c>
      <c r="D107" s="457" t="s">
        <v>62</v>
      </c>
      <c r="E107" s="457" t="s">
        <v>119</v>
      </c>
      <c r="F107" s="419" t="s">
        <v>120</v>
      </c>
    </row>
    <row r="108" spans="1:10" ht="26.25" customHeight="1" x14ac:dyDescent="0.4">
      <c r="A108" s="311" t="s">
        <v>121</v>
      </c>
      <c r="B108" s="312">
        <v>1</v>
      </c>
      <c r="C108" s="462">
        <v>1</v>
      </c>
      <c r="D108" s="463">
        <v>60507941</v>
      </c>
      <c r="E108" s="437">
        <f t="shared" ref="E108:E113" si="1">IF(ISBLANK(D108),"-",D108/$D$103*$D$100*$B$116)</f>
        <v>306.15144428596039</v>
      </c>
      <c r="F108" s="464">
        <f t="shared" ref="F108:F113" si="2">IF(ISBLANK(D108), "-", (E108/$B$56)*100)</f>
        <v>102.05048142865347</v>
      </c>
    </row>
    <row r="109" spans="1:10" ht="26.25" customHeight="1" x14ac:dyDescent="0.4">
      <c r="A109" s="311" t="s">
        <v>94</v>
      </c>
      <c r="B109" s="312">
        <v>1</v>
      </c>
      <c r="C109" s="458">
        <v>2</v>
      </c>
      <c r="D109" s="460">
        <v>58127986</v>
      </c>
      <c r="E109" s="438">
        <f t="shared" si="1"/>
        <v>294.10960897403669</v>
      </c>
      <c r="F109" s="465">
        <f t="shared" si="2"/>
        <v>98.036536324678892</v>
      </c>
    </row>
    <row r="110" spans="1:10" ht="26.25" customHeight="1" x14ac:dyDescent="0.4">
      <c r="A110" s="311" t="s">
        <v>95</v>
      </c>
      <c r="B110" s="312">
        <v>1</v>
      </c>
      <c r="C110" s="458">
        <v>3</v>
      </c>
      <c r="D110" s="460">
        <v>65307364</v>
      </c>
      <c r="E110" s="438">
        <f t="shared" si="1"/>
        <v>330.43503845402591</v>
      </c>
      <c r="F110" s="465">
        <f t="shared" si="2"/>
        <v>110.14501281800864</v>
      </c>
    </row>
    <row r="111" spans="1:10" ht="26.25" customHeight="1" x14ac:dyDescent="0.4">
      <c r="A111" s="311" t="s">
        <v>96</v>
      </c>
      <c r="B111" s="312">
        <v>1</v>
      </c>
      <c r="C111" s="458">
        <v>4</v>
      </c>
      <c r="D111" s="460">
        <v>59576144</v>
      </c>
      <c r="E111" s="438">
        <f t="shared" si="1"/>
        <v>301.43684001060871</v>
      </c>
      <c r="F111" s="465">
        <f t="shared" si="2"/>
        <v>100.4789466702029</v>
      </c>
    </row>
    <row r="112" spans="1:10" ht="26.25" customHeight="1" x14ac:dyDescent="0.4">
      <c r="A112" s="311" t="s">
        <v>97</v>
      </c>
      <c r="B112" s="312">
        <v>1</v>
      </c>
      <c r="C112" s="458">
        <v>5</v>
      </c>
      <c r="D112" s="460">
        <v>56784663</v>
      </c>
      <c r="E112" s="438">
        <f t="shared" si="1"/>
        <v>287.31281057376475</v>
      </c>
      <c r="F112" s="465">
        <f t="shared" si="2"/>
        <v>95.770936857921583</v>
      </c>
    </row>
    <row r="113" spans="1:10" ht="27" customHeight="1" x14ac:dyDescent="0.4">
      <c r="A113" s="311" t="s">
        <v>99</v>
      </c>
      <c r="B113" s="312">
        <v>1</v>
      </c>
      <c r="C113" s="459">
        <v>6</v>
      </c>
      <c r="D113" s="461">
        <v>59643697</v>
      </c>
      <c r="E113" s="439">
        <f t="shared" si="1"/>
        <v>301.77863727182853</v>
      </c>
      <c r="F113" s="466">
        <f t="shared" si="2"/>
        <v>100.5928790906095</v>
      </c>
    </row>
    <row r="114" spans="1:10" ht="27" customHeight="1" x14ac:dyDescent="0.4">
      <c r="A114" s="311" t="s">
        <v>100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101</v>
      </c>
      <c r="B115" s="312">
        <v>1</v>
      </c>
      <c r="C115" s="420"/>
      <c r="D115" s="444" t="s">
        <v>70</v>
      </c>
      <c r="E115" s="446">
        <f>AVERAGE(E108:E113)</f>
        <v>303.53739659503748</v>
      </c>
      <c r="F115" s="468">
        <f>AVERAGE(F108:F113)</f>
        <v>101.17913219834583</v>
      </c>
    </row>
    <row r="116" spans="1:10" ht="27" customHeight="1" x14ac:dyDescent="0.4">
      <c r="A116" s="311" t="s">
        <v>102</v>
      </c>
      <c r="B116" s="343">
        <f>(B115/B114)*(B113/B112)*(B111/B110)*(B109/B108)*B107</f>
        <v>900</v>
      </c>
      <c r="C116" s="421"/>
      <c r="D116" s="445" t="s">
        <v>83</v>
      </c>
      <c r="E116" s="443">
        <f>STDEV(E108:E113)/E115</f>
        <v>4.864123038717446E-2</v>
      </c>
      <c r="F116" s="422">
        <f>STDEV(F108:F113)/F115</f>
        <v>4.8641230387174474E-2</v>
      </c>
      <c r="I116" s="285"/>
    </row>
    <row r="117" spans="1:10" ht="27" customHeight="1" x14ac:dyDescent="0.4">
      <c r="A117" s="486" t="s">
        <v>77</v>
      </c>
      <c r="B117" s="487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488"/>
      <c r="B118" s="489"/>
      <c r="C118" s="285"/>
      <c r="D118" s="447"/>
      <c r="E118" s="514" t="s">
        <v>122</v>
      </c>
      <c r="F118" s="515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123</v>
      </c>
      <c r="E119" s="450">
        <f>MIN(E108:E113)</f>
        <v>287.31281057376475</v>
      </c>
      <c r="F119" s="469">
        <f>MIN(F108:F113)</f>
        <v>95.770936857921583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124</v>
      </c>
      <c r="E120" s="451">
        <f>MAX(E108:E113)</f>
        <v>330.43503845402591</v>
      </c>
      <c r="F120" s="470">
        <f>MAX(F108:F113)</f>
        <v>110.14501281800864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105</v>
      </c>
      <c r="B124" s="384" t="s">
        <v>125</v>
      </c>
      <c r="C124" s="490" t="str">
        <f>B26</f>
        <v>ZIDOVUDINE</v>
      </c>
      <c r="D124" s="490"/>
      <c r="E124" s="385" t="s">
        <v>126</v>
      </c>
      <c r="F124" s="385"/>
      <c r="G124" s="471">
        <f>F115</f>
        <v>101.17913219834583</v>
      </c>
      <c r="H124" s="285"/>
      <c r="I124" s="285"/>
    </row>
    <row r="125" spans="1:10" ht="45.75" customHeight="1" x14ac:dyDescent="0.65">
      <c r="A125" s="295"/>
      <c r="B125" s="384" t="s">
        <v>127</v>
      </c>
      <c r="C125" s="296" t="s">
        <v>128</v>
      </c>
      <c r="D125" s="471">
        <f>MIN(F108:F113)</f>
        <v>95.770936857921583</v>
      </c>
      <c r="E125" s="396" t="s">
        <v>129</v>
      </c>
      <c r="F125" s="471">
        <f>MAX(F108:F113)</f>
        <v>110.14501281800864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91" t="s">
        <v>25</v>
      </c>
      <c r="C127" s="491"/>
      <c r="E127" s="391" t="s">
        <v>26</v>
      </c>
      <c r="F127" s="426"/>
      <c r="G127" s="491" t="s">
        <v>27</v>
      </c>
      <c r="H127" s="491"/>
    </row>
    <row r="128" spans="1:10" ht="69.95" customHeight="1" x14ac:dyDescent="0.3">
      <c r="A128" s="427" t="s">
        <v>28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29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SST (ZID)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2017-05-10T09:28:00Z</cp:lastPrinted>
  <dcterms:created xsi:type="dcterms:W3CDTF">2005-07-05T10:19:27Z</dcterms:created>
  <dcterms:modified xsi:type="dcterms:W3CDTF">2017-05-12T12:40:01Z</dcterms:modified>
</cp:coreProperties>
</file>