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/>
  </bookViews>
  <sheets>
    <sheet name="SST" sheetId="1" r:id="rId1"/>
    <sheet name="Uniformity" sheetId="2" r:id="rId2"/>
    <sheet name="Zidovud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B21" i="1"/>
  <c r="C124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B69" i="3"/>
  <c r="I39" i="3"/>
  <c r="F45" i="3"/>
  <c r="F46" i="3" s="1"/>
  <c r="D102" i="3"/>
  <c r="G40" i="3"/>
  <c r="D49" i="3"/>
  <c r="G41" i="3"/>
  <c r="F98" i="3"/>
  <c r="F99" i="3" s="1"/>
  <c r="D97" i="3"/>
  <c r="D98" i="3" s="1"/>
  <c r="D99" i="3" s="1"/>
  <c r="D44" i="3"/>
  <c r="D45" i="3" s="1"/>
  <c r="D46" i="3" s="1"/>
  <c r="E91" i="3" l="1"/>
  <c r="E94" i="3"/>
  <c r="G39" i="3"/>
  <c r="E39" i="3"/>
  <c r="G38" i="3"/>
  <c r="E92" i="3"/>
  <c r="G93" i="3"/>
  <c r="E41" i="3"/>
  <c r="E40" i="3"/>
  <c r="G91" i="3"/>
  <c r="G94" i="3"/>
  <c r="E38" i="3"/>
  <c r="E93" i="3"/>
  <c r="G92" i="3"/>
  <c r="D103" i="3" l="1"/>
  <c r="E109" i="3" s="1"/>
  <c r="F109" i="3" s="1"/>
  <c r="D105" i="3"/>
  <c r="G42" i="3"/>
  <c r="E95" i="3"/>
  <c r="G95" i="3"/>
  <c r="E113" i="3"/>
  <c r="F113" i="3" s="1"/>
  <c r="E111" i="3"/>
  <c r="F111" i="3" s="1"/>
  <c r="D50" i="3"/>
  <c r="E42" i="3"/>
  <c r="D52" i="3"/>
  <c r="E110" i="3" l="1"/>
  <c r="F110" i="3" s="1"/>
  <c r="E112" i="3"/>
  <c r="F112" i="3" s="1"/>
  <c r="D104" i="3"/>
  <c r="E108" i="3"/>
  <c r="F108" i="3" s="1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E119" i="3" l="1"/>
  <c r="E120" i="3"/>
  <c r="E115" i="3"/>
  <c r="E116" i="3" s="1"/>
  <c r="E117" i="3"/>
  <c r="G74" i="3"/>
  <c r="G72" i="3"/>
  <c r="G73" i="3" s="1"/>
  <c r="H60" i="3"/>
  <c r="F125" i="3"/>
  <c r="F120" i="3"/>
  <c r="F117" i="3"/>
  <c r="D125" i="3"/>
  <c r="F115" i="3"/>
  <c r="F119" i="3"/>
  <c r="H74" i="3" l="1"/>
  <c r="H72" i="3"/>
  <c r="G124" i="3"/>
  <c r="F116" i="3"/>
  <c r="G76" i="3" l="1"/>
  <c r="H73" i="3"/>
</calcChain>
</file>

<file path=xl/sharedStrings.xml><?xml version="1.0" encoding="utf-8"?>
<sst xmlns="http://schemas.openxmlformats.org/spreadsheetml/2006/main" count="240" uniqueCount="134">
  <si>
    <t>HPLC System Suitability Report</t>
  </si>
  <si>
    <t>Analysis Data</t>
  </si>
  <si>
    <t>Assay</t>
  </si>
  <si>
    <t>Sample(s)</t>
  </si>
  <si>
    <t>Reference Substance:</t>
  </si>
  <si>
    <t>ZIDOVUDINE TABLETS</t>
  </si>
  <si>
    <t>% age Purity:</t>
  </si>
  <si>
    <t>NDQB201705383</t>
  </si>
  <si>
    <t>Weight (mg):</t>
  </si>
  <si>
    <t>ZIDOVUDINE 300 mg</t>
  </si>
  <si>
    <t>Standard Conc (mg/mL):</t>
  </si>
  <si>
    <t>ZIDOVIDINE 300 mg</t>
  </si>
  <si>
    <t>2017-05-10 06:55:26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</si>
  <si>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</si>
  <si>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</si>
  <si>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</si>
  <si>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</si>
  <si>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</si>
  <si>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</si>
  <si>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</si>
  <si>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</si>
  <si>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</si>
  <si>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</si>
  <si>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</si>
  <si>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</si>
  <si>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</si>
  <si>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</si>
  <si>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</si>
  <si>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</si>
  <si>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</si>
  <si>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</si>
  <si>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</si>
  <si>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</si>
  <si>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</si>
  <si>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</si>
  <si>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</si>
  <si>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</si>
  <si>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</si>
  <si>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</si>
  <si>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</si>
  <si>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</si>
  <si>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</si>
  <si>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</si>
  <si>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</si>
  <si>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</si>
  <si>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</si>
  <si>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</si>
  <si>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</si>
  <si>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</si>
  <si>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</si>
  <si>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</si>
  <si>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</si>
  <si>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</si>
  <si>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</si>
  <si>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</si>
  <si>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</si>
  <si>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</si>
  <si>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</si>
  <si>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</si>
  <si>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</si>
  <si>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</si>
  <si>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</si>
  <si>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</si>
  <si>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</si>
  <si>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</si>
  <si>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</si>
  <si>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</si>
  <si>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</si>
  <si>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</si>
  <si>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</si>
  <si>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</si>
  <si>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</si>
  <si>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</si>
  <si>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</si>
  <si>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</si>
  <si>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</si>
  <si>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</si>
  <si>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</si>
  <si>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</si>
  <si>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</si>
  <si>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</si>
  <si>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</si>
  <si>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</si>
  <si>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</si>
  <si>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</si>
  <si>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</si>
  <si>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</si>
  <si>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</si>
  <si>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</si>
  <si>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</si>
  <si>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</si>
  <si>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</si>
  <si>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</si>
  <si>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</si>
  <si>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</si>
  <si>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</si>
  <si>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</si>
  <si>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</si>
  <si>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</si>
  <si>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</si>
  <si>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</si>
  <si>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</si>
  <si>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</si>
  <si>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</si>
  <si>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</si>
  <si>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</si>
  <si>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</si>
  <si>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</si>
  <si>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</si>
  <si>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</si>
  <si>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</si>
  <si>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</si>
  <si>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</si>
  <si>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</si>
  <si>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</si>
  <si>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</si>
  <si>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</si>
  <si>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</si>
  <si>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</si>
  <si>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</si>
  <si>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</si>
  <si>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</si>
  <si>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</si>
  <si>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</si>
  <si>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</si>
  <si>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</si>
  <si>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</si>
  <si>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</si>
  <si>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</si>
  <si>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</si>
  <si>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</si>
  <si>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</si>
  <si>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Zidovudine</t>
  </si>
  <si>
    <t>ndqe201607027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</si>
</sst>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7" workbookViewId="0">
      <selection activeCell="C51" sqref="C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100.8</v>
      </c>
      <c r="C19" s="10"/>
      <c r="D19" s="10"/>
      <c r="E19" s="10"/>
    </row>
    <row r="20" spans="1:6" ht="16.5" customHeight="1" x14ac:dyDescent="0.3">
      <c r="A20" s="7" t="s">
        <v>8</v>
      </c>
      <c r="B20" s="12">
        <v>9.26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B20/50*3/5</f>
        <v>0.11112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19804259</v>
      </c>
      <c r="C24" s="18">
        <v>7338.5</v>
      </c>
      <c r="D24" s="19">
        <v>1.1000000000000001</v>
      </c>
      <c r="E24" s="20">
        <v>3.7</v>
      </c>
    </row>
    <row r="25" spans="1:6" ht="16.5" customHeight="1" x14ac:dyDescent="0.3">
      <c r="A25" s="17">
        <v>2</v>
      </c>
      <c r="B25" s="18">
        <v>19836918</v>
      </c>
      <c r="C25" s="18">
        <v>7356.3</v>
      </c>
      <c r="D25" s="19">
        <v>1.1000000000000001</v>
      </c>
      <c r="E25" s="19">
        <v>3.7</v>
      </c>
    </row>
    <row r="26" spans="1:6" ht="16.5" customHeight="1" x14ac:dyDescent="0.3">
      <c r="A26" s="17">
        <v>3</v>
      </c>
      <c r="B26" s="18">
        <v>19910781</v>
      </c>
      <c r="C26" s="18">
        <v>7341.5</v>
      </c>
      <c r="D26" s="19">
        <v>1.1000000000000001</v>
      </c>
      <c r="E26" s="19">
        <v>3.7</v>
      </c>
    </row>
    <row r="27" spans="1:6" ht="16.5" customHeight="1" x14ac:dyDescent="0.3">
      <c r="A27" s="17">
        <v>4</v>
      </c>
      <c r="B27" s="18">
        <v>19910579</v>
      </c>
      <c r="C27" s="18">
        <v>7377.7</v>
      </c>
      <c r="D27" s="19">
        <v>1.1000000000000001</v>
      </c>
      <c r="E27" s="19">
        <v>3.7</v>
      </c>
    </row>
    <row r="28" spans="1:6" ht="16.5" customHeight="1" x14ac:dyDescent="0.3">
      <c r="A28" s="17">
        <v>5</v>
      </c>
      <c r="B28" s="18">
        <v>19805980</v>
      </c>
      <c r="C28" s="18">
        <v>7347.2</v>
      </c>
      <c r="D28" s="19">
        <v>1.1000000000000001</v>
      </c>
      <c r="E28" s="19">
        <v>3.7</v>
      </c>
    </row>
    <row r="29" spans="1:6" ht="16.5" customHeight="1" x14ac:dyDescent="0.3">
      <c r="A29" s="17">
        <v>6</v>
      </c>
      <c r="B29" s="21">
        <v>19896272</v>
      </c>
      <c r="C29" s="21">
        <v>7364.3</v>
      </c>
      <c r="D29" s="22">
        <v>1.1000000000000001</v>
      </c>
      <c r="E29" s="22">
        <v>3.7</v>
      </c>
    </row>
    <row r="30" spans="1:6" ht="16.5" customHeight="1" x14ac:dyDescent="0.3">
      <c r="A30" s="23" t="s">
        <v>18</v>
      </c>
      <c r="B30" s="24">
        <f>AVERAGE(B24:B29)</f>
        <v>19860798.166666668</v>
      </c>
      <c r="C30" s="25">
        <f>AVERAGE(C24:C29)</f>
        <v>7354.25</v>
      </c>
      <c r="D30" s="26">
        <f>AVERAGE(D24:D29)</f>
        <v>1.0999999999999999</v>
      </c>
      <c r="E30" s="26">
        <f>AVERAGE(E24:E29)</f>
        <v>3.6999999999999997</v>
      </c>
    </row>
    <row r="31" spans="1:6" ht="16.5" customHeight="1" x14ac:dyDescent="0.3">
      <c r="A31" s="27" t="s">
        <v>19</v>
      </c>
      <c r="B31" s="28">
        <f>(STDEV(B24:B29)/B30)</f>
        <v>2.5680482541948508E-3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100.8</v>
      </c>
      <c r="C40" s="10"/>
      <c r="D40" s="10"/>
      <c r="E40" s="10"/>
    </row>
    <row r="41" spans="1:6" ht="16.5" customHeight="1" x14ac:dyDescent="0.3">
      <c r="A41" s="7" t="s">
        <v>8</v>
      </c>
      <c r="B41" s="12">
        <v>30.42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B41/100</f>
        <v>0.30420000000000003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19804259</v>
      </c>
      <c r="C45" s="18">
        <v>7338.5</v>
      </c>
      <c r="D45" s="19">
        <v>1.1000000000000001</v>
      </c>
      <c r="E45" s="20">
        <v>3.7</v>
      </c>
    </row>
    <row r="46" spans="1:6" ht="16.5" customHeight="1" x14ac:dyDescent="0.3">
      <c r="A46" s="17">
        <v>2</v>
      </c>
      <c r="B46" s="18">
        <v>19836918</v>
      </c>
      <c r="C46" s="18">
        <v>7356.3</v>
      </c>
      <c r="D46" s="19">
        <v>1.1000000000000001</v>
      </c>
      <c r="E46" s="19">
        <v>3.7</v>
      </c>
    </row>
    <row r="47" spans="1:6" ht="16.5" customHeight="1" x14ac:dyDescent="0.3">
      <c r="A47" s="17">
        <v>3</v>
      </c>
      <c r="B47" s="18">
        <v>19910781</v>
      </c>
      <c r="C47" s="18">
        <v>7341.5</v>
      </c>
      <c r="D47" s="19">
        <v>1.1000000000000001</v>
      </c>
      <c r="E47" s="19">
        <v>3.7</v>
      </c>
    </row>
    <row r="48" spans="1:6" ht="16.5" customHeight="1" x14ac:dyDescent="0.3">
      <c r="A48" s="17">
        <v>4</v>
      </c>
      <c r="B48" s="18">
        <v>19910579</v>
      </c>
      <c r="C48" s="18">
        <v>7377.7</v>
      </c>
      <c r="D48" s="19">
        <v>1.1000000000000001</v>
      </c>
      <c r="E48" s="19">
        <v>3.7</v>
      </c>
    </row>
    <row r="49" spans="1:7" ht="16.5" customHeight="1" x14ac:dyDescent="0.3">
      <c r="A49" s="17">
        <v>5</v>
      </c>
      <c r="B49" s="18">
        <v>19805980</v>
      </c>
      <c r="C49" s="18">
        <v>7347.2</v>
      </c>
      <c r="D49" s="19">
        <v>1.1000000000000001</v>
      </c>
      <c r="E49" s="19">
        <v>3.7</v>
      </c>
    </row>
    <row r="50" spans="1:7" ht="16.5" customHeight="1" x14ac:dyDescent="0.3">
      <c r="A50" s="17">
        <v>6</v>
      </c>
      <c r="B50" s="21">
        <v>19896272</v>
      </c>
      <c r="C50" s="21">
        <v>7364.3</v>
      </c>
      <c r="D50" s="22">
        <v>1.1000000000000001</v>
      </c>
      <c r="E50" s="22">
        <v>3.7</v>
      </c>
    </row>
    <row r="51" spans="1:7" ht="16.5" customHeight="1" x14ac:dyDescent="0.3">
      <c r="A51" s="23" t="s">
        <v>18</v>
      </c>
      <c r="B51" s="24">
        <f>AVERAGE(B45:B50)</f>
        <v>19860798.166666668</v>
      </c>
      <c r="C51" s="25">
        <f>AVERAGE(C45:C50)</f>
        <v>7354.25</v>
      </c>
      <c r="D51" s="26">
        <f>AVERAGE(D45:D50)</f>
        <v>1.0999999999999999</v>
      </c>
      <c r="E51" s="26">
        <f>AVERAGE(E45:E50)</f>
        <v>3.6999999999999997</v>
      </c>
    </row>
    <row r="52" spans="1:7" ht="16.5" customHeight="1" x14ac:dyDescent="0.3">
      <c r="A52" s="27" t="s">
        <v>19</v>
      </c>
      <c r="B52" s="28">
        <f>(STDEV(B45:B50)/B51)</f>
        <v>2.5680482541948508E-3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B49" sqref="B49:B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359.74</v>
      </c>
      <c r="D24" s="87">
        <f t="shared" ref="D24:D43" si="0">(C24-$C$46)/$C$46</f>
        <v>-9.7758962155732234E-3</v>
      </c>
      <c r="E24" s="53"/>
    </row>
    <row r="25" spans="1:5" ht="15.75" customHeight="1" x14ac:dyDescent="0.3">
      <c r="C25" s="95">
        <v>363.34</v>
      </c>
      <c r="D25" s="88">
        <f t="shared" si="0"/>
        <v>1.3350160958912292E-4</v>
      </c>
      <c r="E25" s="53"/>
    </row>
    <row r="26" spans="1:5" ht="15.75" customHeight="1" x14ac:dyDescent="0.3">
      <c r="C26" s="95">
        <v>363.62</v>
      </c>
      <c r="D26" s="88">
        <f t="shared" si="0"/>
        <v>9.0423255154628297E-4</v>
      </c>
      <c r="E26" s="53"/>
    </row>
    <row r="27" spans="1:5" ht="15.75" customHeight="1" x14ac:dyDescent="0.3">
      <c r="C27" s="95">
        <v>361.29</v>
      </c>
      <c r="D27" s="88">
        <f t="shared" si="0"/>
        <v>-5.5093499297393638E-3</v>
      </c>
      <c r="E27" s="53"/>
    </row>
    <row r="28" spans="1:5" ht="15.75" customHeight="1" x14ac:dyDescent="0.3">
      <c r="C28" s="95">
        <v>358.77</v>
      </c>
      <c r="D28" s="88">
        <f t="shared" si="0"/>
        <v>-1.2445928407353179E-2</v>
      </c>
      <c r="E28" s="53"/>
    </row>
    <row r="29" spans="1:5" ht="15.75" customHeight="1" x14ac:dyDescent="0.3">
      <c r="C29" s="95">
        <v>367.94</v>
      </c>
      <c r="D29" s="88">
        <f t="shared" si="0"/>
        <v>1.2795509941741192E-2</v>
      </c>
      <c r="E29" s="53"/>
    </row>
    <row r="30" spans="1:5" ht="15.75" customHeight="1" x14ac:dyDescent="0.3">
      <c r="C30" s="95">
        <v>367.35</v>
      </c>
      <c r="D30" s="88">
        <f t="shared" si="0"/>
        <v>1.1171469742617417E-2</v>
      </c>
      <c r="E30" s="53"/>
    </row>
    <row r="31" spans="1:5" ht="15.75" customHeight="1" x14ac:dyDescent="0.3">
      <c r="C31" s="95">
        <v>363.35</v>
      </c>
      <c r="D31" s="88">
        <f t="shared" si="0"/>
        <v>1.6102771465915003E-4</v>
      </c>
      <c r="E31" s="53"/>
    </row>
    <row r="32" spans="1:5" ht="15.75" customHeight="1" x14ac:dyDescent="0.3">
      <c r="C32" s="95">
        <v>362.21</v>
      </c>
      <c r="D32" s="88">
        <f t="shared" si="0"/>
        <v>-2.9769482633090752E-3</v>
      </c>
      <c r="E32" s="53"/>
    </row>
    <row r="33" spans="1:7" ht="15.75" customHeight="1" x14ac:dyDescent="0.3">
      <c r="C33" s="95">
        <v>363.33</v>
      </c>
      <c r="D33" s="88">
        <f t="shared" si="0"/>
        <v>1.0597550451925229E-4</v>
      </c>
      <c r="E33" s="53"/>
    </row>
    <row r="34" spans="1:7" ht="15.75" customHeight="1" x14ac:dyDescent="0.3">
      <c r="C34" s="95">
        <v>362.85</v>
      </c>
      <c r="D34" s="88">
        <f t="shared" si="0"/>
        <v>-1.2152775388356333E-3</v>
      </c>
      <c r="E34" s="53"/>
    </row>
    <row r="35" spans="1:7" ht="15.75" customHeight="1" x14ac:dyDescent="0.3">
      <c r="C35" s="95">
        <v>363.85</v>
      </c>
      <c r="D35" s="88">
        <f t="shared" si="0"/>
        <v>1.5373329681539333E-3</v>
      </c>
      <c r="E35" s="53"/>
    </row>
    <row r="36" spans="1:7" ht="15.75" customHeight="1" x14ac:dyDescent="0.3">
      <c r="C36" s="95">
        <v>369.33</v>
      </c>
      <c r="D36" s="88">
        <f t="shared" si="0"/>
        <v>1.6621638546456652E-2</v>
      </c>
      <c r="E36" s="53"/>
    </row>
    <row r="37" spans="1:7" ht="15.75" customHeight="1" x14ac:dyDescent="0.3">
      <c r="C37" s="95">
        <v>360.2</v>
      </c>
      <c r="D37" s="88">
        <f t="shared" si="0"/>
        <v>-8.5096953823580786E-3</v>
      </c>
      <c r="E37" s="53"/>
    </row>
    <row r="38" spans="1:7" ht="15.75" customHeight="1" x14ac:dyDescent="0.3">
      <c r="C38" s="95">
        <v>356.7</v>
      </c>
      <c r="D38" s="88">
        <f t="shared" si="0"/>
        <v>-1.8143832156821561E-2</v>
      </c>
      <c r="E38" s="53"/>
    </row>
    <row r="39" spans="1:7" ht="15.75" customHeight="1" x14ac:dyDescent="0.3">
      <c r="C39" s="95">
        <v>367.38</v>
      </c>
      <c r="D39" s="88">
        <f t="shared" si="0"/>
        <v>1.1254048057827029E-2</v>
      </c>
      <c r="E39" s="53"/>
    </row>
    <row r="40" spans="1:7" ht="15.75" customHeight="1" x14ac:dyDescent="0.3">
      <c r="C40" s="95">
        <v>364.47</v>
      </c>
      <c r="D40" s="88">
        <f t="shared" si="0"/>
        <v>3.2439514824874772E-3</v>
      </c>
      <c r="E40" s="53"/>
    </row>
    <row r="41" spans="1:7" ht="15.75" customHeight="1" x14ac:dyDescent="0.3">
      <c r="C41" s="95">
        <v>362.88</v>
      </c>
      <c r="D41" s="88">
        <f t="shared" si="0"/>
        <v>-1.1326992236260214E-3</v>
      </c>
      <c r="E41" s="53"/>
    </row>
    <row r="42" spans="1:7" ht="15.75" customHeight="1" x14ac:dyDescent="0.3">
      <c r="C42" s="95">
        <v>363.27</v>
      </c>
      <c r="D42" s="88">
        <f t="shared" si="0"/>
        <v>-5.9181125900127978E-5</v>
      </c>
      <c r="E42" s="53"/>
    </row>
    <row r="43" spans="1:7" ht="16.5" customHeight="1" x14ac:dyDescent="0.3">
      <c r="C43" s="96">
        <v>363.96</v>
      </c>
      <c r="D43" s="89">
        <f t="shared" si="0"/>
        <v>1.8401201239226668E-3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7265.829999999999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363.29149999999993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363.29149999999993</v>
      </c>
      <c r="C49" s="93">
        <f>-IF(C46&lt;=80,10%,IF(C46&lt;250,7.5%,5%))</f>
        <v>-0.05</v>
      </c>
      <c r="D49" s="81">
        <f>IF(C46&lt;=80,C46*0.9,IF(C46&lt;250,C46*0.925,C46*0.95))</f>
        <v>345.12692499999991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381.45607499999994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23" zoomScale="42" zoomScaleNormal="40" zoomScalePageLayoutView="42" workbookViewId="0">
      <selection activeCell="B127" sqref="B127:C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132</v>
      </c>
      <c r="C26" s="327"/>
    </row>
    <row r="27" spans="1:14" ht="26.25" customHeight="1" x14ac:dyDescent="0.4">
      <c r="A27" s="109" t="s">
        <v>48</v>
      </c>
      <c r="B27" s="333" t="s">
        <v>133</v>
      </c>
      <c r="C27" s="333"/>
    </row>
    <row r="28" spans="1:14" ht="27" customHeight="1" x14ac:dyDescent="0.4">
      <c r="A28" s="109" t="s">
        <v>6</v>
      </c>
      <c r="B28" s="110">
        <v>100.8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3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</v>
      </c>
      <c r="C38" s="131">
        <v>1</v>
      </c>
      <c r="D38" s="132">
        <v>19991397</v>
      </c>
      <c r="E38" s="133">
        <f>IF(ISBLANK(D38),"-",$D$48/$D$45*D38)</f>
        <v>17848033.764441706</v>
      </c>
      <c r="F38" s="132">
        <v>20904005</v>
      </c>
      <c r="G38" s="134">
        <f>IF(ISBLANK(F38),"-",$D$48/$F$45*F38)</f>
        <v>18562567.309714198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19958488</v>
      </c>
      <c r="E39" s="138">
        <f>IF(ISBLANK(D39),"-",$D$48/$D$45*D39)</f>
        <v>17818653.079182241</v>
      </c>
      <c r="F39" s="137">
        <v>20886770</v>
      </c>
      <c r="G39" s="139">
        <f>IF(ISBLANK(F39),"-",$D$48/$F$45*F39)</f>
        <v>18547262.785648931</v>
      </c>
      <c r="I39" s="311">
        <f>ABS((F43/D43*D42)-F42)/D42</f>
        <v>3.4290765575675369E-2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20022526</v>
      </c>
      <c r="E40" s="138">
        <f>IF(ISBLANK(D40),"-",$D$48/$D$45*D40)</f>
        <v>17875825.291119572</v>
      </c>
      <c r="F40" s="137">
        <v>20561961</v>
      </c>
      <c r="G40" s="139">
        <f>IF(ISBLANK(F40),"-",$D$48/$F$45*F40)</f>
        <v>18258835.332378566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19990803.666666668</v>
      </c>
      <c r="E42" s="148">
        <f>AVERAGE(E38:E41)</f>
        <v>17847504.04491451</v>
      </c>
      <c r="F42" s="147">
        <f>AVERAGE(F38:F41)</f>
        <v>20784245.333333332</v>
      </c>
      <c r="G42" s="149">
        <f>AVERAGE(G38:G41)</f>
        <v>18456221.809247229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9.26</v>
      </c>
      <c r="E43" s="140"/>
      <c r="F43" s="152">
        <v>9.31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9.26</v>
      </c>
      <c r="E44" s="155"/>
      <c r="F44" s="154">
        <f>F43*$B$34</f>
        <v>9.31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83.333333333333343</v>
      </c>
      <c r="C45" s="153" t="s">
        <v>77</v>
      </c>
      <c r="D45" s="157">
        <f>D44*$B$30/100</f>
        <v>9.3340799999999984</v>
      </c>
      <c r="E45" s="158"/>
      <c r="F45" s="157">
        <f>F44*$B$30/100</f>
        <v>9.3844799999999999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0.11200895999999996</v>
      </c>
      <c r="E46" s="160"/>
      <c r="F46" s="161">
        <f>F45/$B$45</f>
        <v>0.11261375999999999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8.3333333333333339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8.3333333333333339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18151862.92708087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1.9336779324934123E-2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ZIDOVIDINE 300 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ZIDOVUDINE 300 mg</v>
      </c>
      <c r="H56" s="179"/>
    </row>
    <row r="57" spans="1:12" ht="18.75" x14ac:dyDescent="0.3">
      <c r="A57" s="176" t="s">
        <v>88</v>
      </c>
      <c r="B57" s="247">
        <f>Uniformity!C46</f>
        <v>363.29149999999993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10</v>
      </c>
      <c r="C60" s="314" t="s">
        <v>94</v>
      </c>
      <c r="D60" s="317">
        <v>360.05</v>
      </c>
      <c r="E60" s="182">
        <v>1</v>
      </c>
      <c r="F60" s="183">
        <v>21526039</v>
      </c>
      <c r="G60" s="248">
        <f>IF(ISBLANK(F60),"-",(F60/$D$50*$D$47*$B$68)*($B$57/$D$60))</f>
        <v>299.14059253606462</v>
      </c>
      <c r="H60" s="266">
        <f t="shared" ref="H60:H71" si="0">IF(ISBLANK(F60),"-",(G60/$B$56)*100)</f>
        <v>99.713530845354867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5"/>
      <c r="D61" s="318"/>
      <c r="E61" s="184">
        <v>2</v>
      </c>
      <c r="F61" s="137">
        <v>21539275</v>
      </c>
      <c r="G61" s="249">
        <f>IF(ISBLANK(F61),"-",(F61/$D$50*$D$47*$B$68)*($B$57/$D$60))</f>
        <v>299.32452906441557</v>
      </c>
      <c r="H61" s="267">
        <f t="shared" si="0"/>
        <v>99.774843021471867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21751923</v>
      </c>
      <c r="G62" s="249">
        <f>IF(ISBLANK(F62),"-",(F62/$D$50*$D$47*$B$68)*($B$57/$D$60))</f>
        <v>302.27963142772586</v>
      </c>
      <c r="H62" s="267">
        <f t="shared" si="0"/>
        <v>100.75987714257528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361.72</v>
      </c>
      <c r="E64" s="182">
        <v>1</v>
      </c>
      <c r="F64" s="183">
        <v>20839884</v>
      </c>
      <c r="G64" s="248">
        <f>IF(ISBLANK(F64),"-",(F64/$D$50*$D$47*$B$68)*($B$57/$D$64))</f>
        <v>288.26825364859684</v>
      </c>
      <c r="H64" s="266">
        <f t="shared" si="0"/>
        <v>96.089417882865618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20975475</v>
      </c>
      <c r="G65" s="249">
        <f>IF(ISBLANK(F65),"-",(F65/$D$50*$D$47*$B$68)*($B$57/$D$64))</f>
        <v>290.14381978804687</v>
      </c>
      <c r="H65" s="267">
        <f t="shared" si="0"/>
        <v>96.714606596015614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21256461</v>
      </c>
      <c r="G66" s="249">
        <f>IF(ISBLANK(F66),"-",(F66/$D$50*$D$47*$B$68)*($B$57/$D$64))</f>
        <v>294.03056615955757</v>
      </c>
      <c r="H66" s="267">
        <f t="shared" si="0"/>
        <v>98.010188719852522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4" t="s">
        <v>104</v>
      </c>
      <c r="D68" s="317">
        <v>360.54</v>
      </c>
      <c r="E68" s="182">
        <v>1</v>
      </c>
      <c r="F68" s="183">
        <v>21066583</v>
      </c>
      <c r="G68" s="248">
        <f>IF(ISBLANK(F68),"-",(F68/$D$50*$D$47*$B$68)*($B$57/$D$68))</f>
        <v>292.35780084458912</v>
      </c>
      <c r="H68" s="267">
        <f t="shared" si="0"/>
        <v>97.452600281529712</v>
      </c>
    </row>
    <row r="69" spans="1:8" ht="27" customHeight="1" x14ac:dyDescent="0.4">
      <c r="A69" s="172" t="s">
        <v>105</v>
      </c>
      <c r="B69" s="189">
        <f>(D47*B68)/B56*B57</f>
        <v>302.74291666666664</v>
      </c>
      <c r="C69" s="315"/>
      <c r="D69" s="318"/>
      <c r="E69" s="184">
        <v>2</v>
      </c>
      <c r="F69" s="137">
        <v>21004831</v>
      </c>
      <c r="G69" s="249">
        <f>IF(ISBLANK(F69),"-",(F69/$D$50*$D$47*$B$68)*($B$57/$D$68))</f>
        <v>291.5008190114292</v>
      </c>
      <c r="H69" s="267">
        <f t="shared" si="0"/>
        <v>97.16693967047641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21162989</v>
      </c>
      <c r="G70" s="249">
        <f>IF(ISBLANK(F70),"-",(F70/$D$50*$D$47*$B$68)*($B$57/$D$68))</f>
        <v>293.69570391829706</v>
      </c>
      <c r="H70" s="267">
        <f t="shared" si="0"/>
        <v>97.898567972765676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294.52685737763585</v>
      </c>
      <c r="H72" s="269">
        <f>AVERAGE(H60:H71)</f>
        <v>98.175619125878626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1.5997015754120786E-2</v>
      </c>
      <c r="H73" s="253">
        <f>STDEV(H60:H71)/H72</f>
        <v>1.5997015754120766E-2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Zidovudine</v>
      </c>
      <c r="D76" s="301"/>
      <c r="E76" s="198" t="s">
        <v>108</v>
      </c>
      <c r="F76" s="198"/>
      <c r="G76" s="199">
        <f>H72</f>
        <v>98.175619125878626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Zidovudine</v>
      </c>
      <c r="C79" s="335"/>
    </row>
    <row r="80" spans="1:8" ht="26.25" customHeight="1" x14ac:dyDescent="0.4">
      <c r="A80" s="109" t="s">
        <v>48</v>
      </c>
      <c r="B80" s="335" t="str">
        <f>B27</f>
        <v>ndqe201607027</v>
      </c>
      <c r="C80" s="335"/>
    </row>
    <row r="81" spans="1:12" ht="27" customHeight="1" x14ac:dyDescent="0.4">
      <c r="A81" s="109" t="s">
        <v>6</v>
      </c>
      <c r="B81" s="201">
        <f>B28</f>
        <v>100.8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100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54548804</v>
      </c>
      <c r="E91" s="133">
        <f>IF(ISBLANK(D91),"-",$D$101/$D$98*D91)</f>
        <v>59298572.193871334</v>
      </c>
      <c r="F91" s="132">
        <v>50578692</v>
      </c>
      <c r="G91" s="134">
        <f>IF(ISBLANK(F91),"-",$D$101/$F$98*F91)</f>
        <v>59692212.478615053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54371059</v>
      </c>
      <c r="E92" s="138">
        <f>IF(ISBLANK(D92),"-",$D$101/$D$98*D92)</f>
        <v>59105350.272551119</v>
      </c>
      <c r="F92" s="137">
        <v>50496530</v>
      </c>
      <c r="G92" s="139">
        <f>IF(ISBLANK(F92),"-",$D$101/$F$98*F92)</f>
        <v>59595246.120495945</v>
      </c>
      <c r="I92" s="311">
        <f>ABS((F96/D96*D95)-F95)/D95</f>
        <v>7.1290729297398929E-3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54397867</v>
      </c>
      <c r="E93" s="138">
        <f>IF(ISBLANK(D93),"-",$D$101/$D$98*D93)</f>
        <v>59134492.545283139</v>
      </c>
      <c r="F93" s="137">
        <v>50521784</v>
      </c>
      <c r="G93" s="139">
        <f>IF(ISBLANK(F93),"-",$D$101/$F$98*F93)</f>
        <v>59625050.51191704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54439243.333333336</v>
      </c>
      <c r="E95" s="148">
        <f>AVERAGE(E91:E94)</f>
        <v>59179471.670568526</v>
      </c>
      <c r="F95" s="211">
        <f>AVERAGE(F91:F94)</f>
        <v>50532335.333333336</v>
      </c>
      <c r="G95" s="212">
        <f>AVERAGE(G91:G94)</f>
        <v>59637503.037009336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30.42</v>
      </c>
      <c r="E96" s="140"/>
      <c r="F96" s="152">
        <v>28.02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30.42</v>
      </c>
      <c r="E97" s="155"/>
      <c r="F97" s="154">
        <f>F96*$B$87</f>
        <v>28.02</v>
      </c>
    </row>
    <row r="98" spans="1:10" ht="19.5" customHeight="1" x14ac:dyDescent="0.3">
      <c r="A98" s="124" t="s">
        <v>76</v>
      </c>
      <c r="B98" s="217">
        <f>(B97/B96)*(B95/B94)*(B93/B92)*(B91/B90)*B89</f>
        <v>100</v>
      </c>
      <c r="C98" s="215" t="s">
        <v>115</v>
      </c>
      <c r="D98" s="218">
        <f>D97*$B$83/100</f>
        <v>30.663360000000001</v>
      </c>
      <c r="E98" s="158"/>
      <c r="F98" s="157">
        <f>F97*$B$83/100</f>
        <v>28.244159999999997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0.30663360000000001</v>
      </c>
      <c r="E99" s="158"/>
      <c r="F99" s="161">
        <f>F98/$B$98</f>
        <v>0.28244159999999996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0.33333333333333331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33.333333333333329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33.333333333333329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59408487.353788942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4.3979525063129708E-3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52828273</v>
      </c>
      <c r="E108" s="250">
        <f t="shared" ref="E108:E113" si="1">IF(ISBLANK(D108),"-",D108/$D$103*$D$100*$B$116)</f>
        <v>266.77134204106642</v>
      </c>
      <c r="F108" s="277">
        <f t="shared" ref="F108:F113" si="2">IF(ISBLANK(D108), "-", (E108/$B$56)*100)</f>
        <v>88.923780680355463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52889696</v>
      </c>
      <c r="E109" s="251">
        <f t="shared" si="1"/>
        <v>267.08151489381498</v>
      </c>
      <c r="F109" s="278">
        <f t="shared" si="2"/>
        <v>89.027171631271656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53172671</v>
      </c>
      <c r="E110" s="251">
        <f t="shared" si="1"/>
        <v>268.5104773835422</v>
      </c>
      <c r="F110" s="278">
        <f t="shared" si="2"/>
        <v>89.503492461180727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53183848</v>
      </c>
      <c r="E111" s="251">
        <f t="shared" si="1"/>
        <v>268.56691881387235</v>
      </c>
      <c r="F111" s="278">
        <f t="shared" si="2"/>
        <v>89.522306271290788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53250026</v>
      </c>
      <c r="E112" s="251">
        <f t="shared" si="1"/>
        <v>268.90110338722752</v>
      </c>
      <c r="F112" s="278">
        <f t="shared" si="2"/>
        <v>89.633701129075831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53289099</v>
      </c>
      <c r="E113" s="252">
        <f t="shared" si="1"/>
        <v>269.09841357844977</v>
      </c>
      <c r="F113" s="279">
        <f t="shared" si="2"/>
        <v>89.699471192816588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268.15496168299552</v>
      </c>
      <c r="F115" s="281">
        <f>AVERAGE(F108:F113)</f>
        <v>89.384987227665192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3.6575018819828024E-3</v>
      </c>
      <c r="F116" s="235">
        <f>STDEV(F108:F113)/F115</f>
        <v>3.657501881982828E-3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266.77134204106642</v>
      </c>
      <c r="F119" s="282">
        <f>MIN(F108:F113)</f>
        <v>88.923780680355463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269.09841357844977</v>
      </c>
      <c r="F120" s="283">
        <f>MAX(F108:F113)</f>
        <v>89.699471192816588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Zidovudine</v>
      </c>
      <c r="D124" s="301"/>
      <c r="E124" s="198" t="s">
        <v>127</v>
      </c>
      <c r="F124" s="198"/>
      <c r="G124" s="284">
        <f>F115</f>
        <v>89.384987227665192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88.923780680355463</v>
      </c>
      <c r="E125" s="209" t="s">
        <v>130</v>
      </c>
      <c r="F125" s="284">
        <f>MAX(F108:F113)</f>
        <v>89.699471192816588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2017-05-11T06:11:26Z</cp:lastPrinted>
  <dcterms:created xsi:type="dcterms:W3CDTF">2005-07-05T10:19:27Z</dcterms:created>
  <dcterms:modified xsi:type="dcterms:W3CDTF">2017-05-11T06:12:26Z</dcterms:modified>
</cp:coreProperties>
</file>