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/>
  </bookViews>
  <sheets>
    <sheet name="SST" sheetId="1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9" i="2"/>
  <c r="C46" i="2"/>
  <c r="B57" i="3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92" i="3"/>
  <c r="F99" i="3"/>
  <c r="D101" i="3"/>
  <c r="G92" i="3" s="1"/>
  <c r="D44" i="3"/>
  <c r="D45" i="3"/>
  <c r="E40" i="3" s="1"/>
  <c r="F45" i="3"/>
  <c r="G40" i="3" s="1"/>
  <c r="G41" i="3"/>
  <c r="B69" i="3"/>
  <c r="E41" i="3"/>
  <c r="C50" i="2"/>
  <c r="D97" i="3"/>
  <c r="D98" i="3" s="1"/>
  <c r="D99" i="3" s="1"/>
  <c r="B49" i="2"/>
  <c r="D50" i="2"/>
  <c r="D49" i="3"/>
  <c r="D24" i="2"/>
  <c r="D28" i="2"/>
  <c r="D32" i="2"/>
  <c r="D36" i="2"/>
  <c r="D40" i="2"/>
  <c r="D49" i="2"/>
  <c r="G93" i="3" l="1"/>
  <c r="G94" i="3"/>
  <c r="D102" i="3"/>
  <c r="G91" i="3"/>
  <c r="F46" i="3"/>
  <c r="E39" i="3"/>
  <c r="D46" i="3"/>
  <c r="E38" i="3"/>
  <c r="G39" i="3"/>
  <c r="G38" i="3"/>
  <c r="E93" i="3"/>
  <c r="E94" i="3"/>
  <c r="E92" i="3"/>
  <c r="E91" i="3"/>
  <c r="G95" i="3" l="1"/>
  <c r="E42" i="3"/>
  <c r="G42" i="3"/>
  <c r="D50" i="3"/>
  <c r="G67" i="3" s="1"/>
  <c r="H67" i="3" s="1"/>
  <c r="D52" i="3"/>
  <c r="D103" i="3"/>
  <c r="E95" i="3"/>
  <c r="D105" i="3"/>
  <c r="G68" i="3" l="1"/>
  <c r="H68" i="3" s="1"/>
  <c r="G66" i="3"/>
  <c r="H66" i="3" s="1"/>
  <c r="G63" i="3"/>
  <c r="H63" i="3" s="1"/>
  <c r="G69" i="3"/>
  <c r="H69" i="3" s="1"/>
  <c r="G61" i="3"/>
  <c r="H61" i="3" s="1"/>
  <c r="G60" i="3"/>
  <c r="H60" i="3" s="1"/>
  <c r="G71" i="3"/>
  <c r="H71" i="3" s="1"/>
  <c r="D51" i="3"/>
  <c r="G62" i="3"/>
  <c r="H62" i="3" s="1"/>
  <c r="G70" i="3"/>
  <c r="H70" i="3" s="1"/>
  <c r="G64" i="3"/>
  <c r="H64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H72" i="3"/>
  <c r="E120" i="3"/>
  <c r="E117" i="3"/>
  <c r="F108" i="3"/>
  <c r="E115" i="3"/>
  <c r="E116" i="3" s="1"/>
  <c r="E119" i="3"/>
  <c r="G76" i="3" l="1"/>
  <c r="H73" i="3"/>
  <c r="F125" i="3"/>
  <c r="F120" i="3"/>
  <c r="F117" i="3"/>
  <c r="D125" i="3"/>
  <c r="F119" i="3"/>
  <c r="F115" i="3"/>
  <c r="G124" i="3" l="1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<sst xmlns="http://schemas.openxmlformats.org/spreadsheetml/2006/main" count="239" uniqueCount="133">
  <si>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</si>
  <si>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</si>
  <si>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</si>
  <si>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</si>
  <si>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</si>
  <si>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</si>
  <si>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</si>
  <si>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NDQB201705384</t>
  </si>
  <si>
    <t>Weight (mg):</t>
  </si>
  <si>
    <t>Metronidazole 400 mg</t>
  </si>
  <si>
    <t>Standard Conc (mg/mL):</t>
  </si>
  <si>
    <t>each tablets contains metronidazole BP 400 mg.</t>
  </si>
  <si>
    <t>2017-05-10 07:00:15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</si>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</sst>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B55" sqref="B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26.67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0.53339999999999999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32669410</v>
      </c>
      <c r="C24" s="18">
        <v>8836</v>
      </c>
      <c r="D24" s="19">
        <v>1.2</v>
      </c>
      <c r="E24" s="20">
        <v>5.0999999999999996</v>
      </c>
    </row>
    <row r="25" spans="1:6" ht="16.5" customHeight="1" x14ac:dyDescent="0.3">
      <c r="A25" s="17">
        <v>2</v>
      </c>
      <c r="B25" s="18">
        <v>32360467</v>
      </c>
      <c r="C25" s="18">
        <v>8865.5</v>
      </c>
      <c r="D25" s="19">
        <v>1.2</v>
      </c>
      <c r="E25" s="19">
        <v>5.0999999999999996</v>
      </c>
    </row>
    <row r="26" spans="1:6" ht="16.5" customHeight="1" x14ac:dyDescent="0.3">
      <c r="A26" s="17">
        <v>3</v>
      </c>
      <c r="B26" s="18">
        <v>32467575</v>
      </c>
      <c r="C26" s="18">
        <v>8887.1</v>
      </c>
      <c r="D26" s="19">
        <v>1.2</v>
      </c>
      <c r="E26" s="19">
        <v>5.0999999999999996</v>
      </c>
    </row>
    <row r="27" spans="1:6" ht="16.5" customHeight="1" x14ac:dyDescent="0.3">
      <c r="A27" s="17">
        <v>4</v>
      </c>
      <c r="B27" s="18">
        <v>32455238</v>
      </c>
      <c r="C27" s="18">
        <v>8861.4</v>
      </c>
      <c r="D27" s="19">
        <v>1.2</v>
      </c>
      <c r="E27" s="19">
        <v>5.0999999999999996</v>
      </c>
    </row>
    <row r="28" spans="1:6" ht="16.5" customHeight="1" x14ac:dyDescent="0.3">
      <c r="A28" s="17">
        <v>5</v>
      </c>
      <c r="B28" s="18">
        <v>32526088</v>
      </c>
      <c r="C28" s="18">
        <v>8864.2999999999993</v>
      </c>
      <c r="D28" s="19">
        <v>1.2</v>
      </c>
      <c r="E28" s="19">
        <v>5.0999999999999996</v>
      </c>
    </row>
    <row r="29" spans="1:6" ht="16.5" customHeight="1" x14ac:dyDescent="0.3">
      <c r="A29" s="17">
        <v>6</v>
      </c>
      <c r="B29" s="21">
        <v>32544376</v>
      </c>
      <c r="C29" s="21">
        <v>8863</v>
      </c>
      <c r="D29" s="22">
        <v>1.2</v>
      </c>
      <c r="E29" s="22">
        <v>5.0999999999999996</v>
      </c>
    </row>
    <row r="30" spans="1:6" ht="16.5" customHeight="1" x14ac:dyDescent="0.3">
      <c r="A30" s="23" t="s">
        <v>18</v>
      </c>
      <c r="B30" s="24">
        <f>AVERAGE(B24:B29)</f>
        <v>32503859</v>
      </c>
      <c r="C30" s="25">
        <f>AVERAGE(C24:C29)</f>
        <v>8862.8833333333332</v>
      </c>
      <c r="D30" s="26">
        <f>AVERAGE(D24:D29)</f>
        <v>1.2</v>
      </c>
      <c r="E30" s="26">
        <f>AVERAGE(E24:E29)</f>
        <v>5.1000000000000005</v>
      </c>
    </row>
    <row r="31" spans="1:6" ht="16.5" customHeight="1" x14ac:dyDescent="0.3">
      <c r="A31" s="27" t="s">
        <v>19</v>
      </c>
      <c r="B31" s="28">
        <f>(STDEV(B24:B29)/B30)</f>
        <v>3.1908720388443015E-3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49" sqref="B49:B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514.96</v>
      </c>
      <c r="D24" s="87">
        <f t="shared" ref="D24:D43" si="0">(C24-$C$46)/$C$46</f>
        <v>-6.5533985264980207E-3</v>
      </c>
      <c r="E24" s="53"/>
    </row>
    <row r="25" spans="1:5" ht="15.75" customHeight="1" x14ac:dyDescent="0.3">
      <c r="C25" s="95">
        <v>510.69</v>
      </c>
      <c r="D25" s="88">
        <f t="shared" si="0"/>
        <v>-1.479096452830766E-2</v>
      </c>
      <c r="E25" s="53"/>
    </row>
    <row r="26" spans="1:5" ht="15.75" customHeight="1" x14ac:dyDescent="0.3">
      <c r="C26" s="95">
        <v>519.26</v>
      </c>
      <c r="D26" s="88">
        <f t="shared" si="0"/>
        <v>1.7420426462843562E-3</v>
      </c>
      <c r="E26" s="53"/>
    </row>
    <row r="27" spans="1:5" ht="15.75" customHeight="1" x14ac:dyDescent="0.3">
      <c r="C27" s="95">
        <v>521.63</v>
      </c>
      <c r="D27" s="88">
        <f t="shared" si="0"/>
        <v>6.3141811531435372E-3</v>
      </c>
      <c r="E27" s="53"/>
    </row>
    <row r="28" spans="1:5" ht="15.75" customHeight="1" x14ac:dyDescent="0.3">
      <c r="C28" s="95">
        <v>524.12</v>
      </c>
      <c r="D28" s="88">
        <f t="shared" si="0"/>
        <v>1.1117820343894332E-2</v>
      </c>
      <c r="E28" s="53"/>
    </row>
    <row r="29" spans="1:5" ht="15.75" customHeight="1" x14ac:dyDescent="0.3">
      <c r="C29" s="95">
        <v>516.08000000000004</v>
      </c>
      <c r="D29" s="88">
        <f t="shared" si="0"/>
        <v>-4.3927254768430443E-3</v>
      </c>
      <c r="E29" s="53"/>
    </row>
    <row r="30" spans="1:5" ht="15.75" customHeight="1" x14ac:dyDescent="0.3">
      <c r="C30" s="95">
        <v>516.07000000000005</v>
      </c>
      <c r="D30" s="88">
        <f t="shared" si="0"/>
        <v>-4.4120172005006611E-3</v>
      </c>
      <c r="E30" s="53"/>
    </row>
    <row r="31" spans="1:5" ht="15.75" customHeight="1" x14ac:dyDescent="0.3">
      <c r="C31" s="95">
        <v>518.02</v>
      </c>
      <c r="D31" s="88">
        <f t="shared" si="0"/>
        <v>-6.5013108726223257E-4</v>
      </c>
      <c r="E31" s="53"/>
    </row>
    <row r="32" spans="1:5" ht="15.75" customHeight="1" x14ac:dyDescent="0.3">
      <c r="C32" s="95">
        <v>520.79</v>
      </c>
      <c r="D32" s="88">
        <f t="shared" si="0"/>
        <v>4.6936763659022503E-3</v>
      </c>
      <c r="E32" s="53"/>
    </row>
    <row r="33" spans="1:7" ht="15.75" customHeight="1" x14ac:dyDescent="0.3">
      <c r="C33" s="95">
        <v>519.78</v>
      </c>
      <c r="D33" s="88">
        <f t="shared" si="0"/>
        <v>2.7452122764812705E-3</v>
      </c>
      <c r="E33" s="53"/>
    </row>
    <row r="34" spans="1:7" ht="15.75" customHeight="1" x14ac:dyDescent="0.3">
      <c r="C34" s="95">
        <v>513.22</v>
      </c>
      <c r="D34" s="88">
        <f t="shared" si="0"/>
        <v>-9.9101584429262916E-3</v>
      </c>
      <c r="E34" s="53"/>
    </row>
    <row r="35" spans="1:7" ht="15.75" customHeight="1" x14ac:dyDescent="0.3">
      <c r="C35" s="95">
        <v>515.5</v>
      </c>
      <c r="D35" s="88">
        <f t="shared" si="0"/>
        <v>-5.5116454489858744E-3</v>
      </c>
      <c r="E35" s="53"/>
    </row>
    <row r="36" spans="1:7" ht="15.75" customHeight="1" x14ac:dyDescent="0.3">
      <c r="C36" s="95">
        <v>516.66</v>
      </c>
      <c r="D36" s="88">
        <f t="shared" si="0"/>
        <v>-3.2738055047004341E-3</v>
      </c>
      <c r="E36" s="53"/>
    </row>
    <row r="37" spans="1:7" ht="15.75" customHeight="1" x14ac:dyDescent="0.3">
      <c r="C37" s="95">
        <v>514.35</v>
      </c>
      <c r="D37" s="88">
        <f t="shared" si="0"/>
        <v>-7.7301936696136993E-3</v>
      </c>
      <c r="E37" s="53"/>
    </row>
    <row r="38" spans="1:7" ht="15.75" customHeight="1" x14ac:dyDescent="0.3">
      <c r="C38" s="95">
        <v>517.16</v>
      </c>
      <c r="D38" s="88">
        <f t="shared" si="0"/>
        <v>-2.3092193218187521E-3</v>
      </c>
      <c r="E38" s="53"/>
    </row>
    <row r="39" spans="1:7" ht="15.75" customHeight="1" x14ac:dyDescent="0.3">
      <c r="C39" s="95">
        <v>513.92999999999995</v>
      </c>
      <c r="D39" s="88">
        <f t="shared" si="0"/>
        <v>-8.5404460632344525E-3</v>
      </c>
      <c r="E39" s="53"/>
    </row>
    <row r="40" spans="1:7" ht="15.75" customHeight="1" x14ac:dyDescent="0.3">
      <c r="C40" s="95">
        <v>521.85</v>
      </c>
      <c r="D40" s="88">
        <f t="shared" si="0"/>
        <v>6.7385990736115306E-3</v>
      </c>
      <c r="E40" s="53"/>
    </row>
    <row r="41" spans="1:7" ht="15.75" customHeight="1" x14ac:dyDescent="0.3">
      <c r="C41" s="95">
        <v>524.29</v>
      </c>
      <c r="D41" s="88">
        <f t="shared" si="0"/>
        <v>1.1445779646074024E-2</v>
      </c>
      <c r="E41" s="53"/>
    </row>
    <row r="42" spans="1:7" ht="15.75" customHeight="1" x14ac:dyDescent="0.3">
      <c r="C42" s="95">
        <v>515.98</v>
      </c>
      <c r="D42" s="88">
        <f t="shared" si="0"/>
        <v>-4.5856427134194251E-3</v>
      </c>
      <c r="E42" s="53"/>
    </row>
    <row r="43" spans="1:7" ht="16.5" customHeight="1" x14ac:dyDescent="0.3">
      <c r="C43" s="96">
        <v>532.79999999999995</v>
      </c>
      <c r="D43" s="89">
        <f t="shared" si="0"/>
        <v>2.7863036478720234E-2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10367.14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518.35699999999997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518.35699999999997</v>
      </c>
      <c r="C49" s="93">
        <f>-IF(C46&lt;=80,10%,IF(C46&lt;250,7.5%,5%))</f>
        <v>-0.05</v>
      </c>
      <c r="D49" s="81">
        <f>IF(C46&lt;=80,C46*0.9,IF(C46&lt;250,C46*0.925,C46*0.95))</f>
        <v>492.43914999999993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544.27485000000001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42" zoomScaleNormal="40" zoomScalePageLayoutView="42" workbookViewId="0">
      <selection activeCell="A128" sqref="A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131</v>
      </c>
      <c r="C26" s="324"/>
    </row>
    <row r="27" spans="1:14" ht="26.25" customHeight="1" x14ac:dyDescent="0.4">
      <c r="A27" s="109" t="s">
        <v>48</v>
      </c>
      <c r="B27" s="330" t="s">
        <v>132</v>
      </c>
      <c r="C27" s="330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6" t="s">
        <v>59</v>
      </c>
      <c r="E36" s="331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32579178</v>
      </c>
      <c r="E38" s="133">
        <f>IF(ISBLANK(D38),"-",$D$48/$D$45*D38)</f>
        <v>30591166.963590633</v>
      </c>
      <c r="F38" s="132">
        <v>33824649</v>
      </c>
      <c r="G38" s="134">
        <f>IF(ISBLANK(F38),"-",$D$48/$F$45*F38)</f>
        <v>30480612.471211862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32849213</v>
      </c>
      <c r="E39" s="138">
        <f>IF(ISBLANK(D39),"-",$D$48/$D$45*D39)</f>
        <v>30844724.182591468</v>
      </c>
      <c r="F39" s="137">
        <v>34045899</v>
      </c>
      <c r="G39" s="139">
        <f>IF(ISBLANK(F39),"-",$D$48/$F$45*F39)</f>
        <v>30679988.834563203</v>
      </c>
      <c r="I39" s="308">
        <f>ABS((F43/D43*D42)-F42)/D42</f>
        <v>7.1733496757859054E-3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32979568</v>
      </c>
      <c r="E40" s="138">
        <f>IF(ISBLANK(D40),"-",$D$48/$D$45*D40)</f>
        <v>30967124.802077293</v>
      </c>
      <c r="F40" s="137">
        <v>33964114</v>
      </c>
      <c r="G40" s="139">
        <f>IF(ISBLANK(F40),"-",$D$48/$F$45*F40)</f>
        <v>30606289.418171387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32802653</v>
      </c>
      <c r="E42" s="148">
        <f>AVERAGE(E38:E41)</f>
        <v>30801005.316086467</v>
      </c>
      <c r="F42" s="147">
        <f>AVERAGE(F38:F41)</f>
        <v>33944887.333333336</v>
      </c>
      <c r="G42" s="149">
        <f>AVERAGE(G38:G41)</f>
        <v>30588963.574648816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26.67</v>
      </c>
      <c r="E43" s="140"/>
      <c r="F43" s="152">
        <v>27.79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26.67</v>
      </c>
      <c r="E44" s="155"/>
      <c r="F44" s="154">
        <f>F43*$B$34</f>
        <v>27.79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26.624661</v>
      </c>
      <c r="E45" s="158"/>
      <c r="F45" s="157">
        <f>F44*$B$30/100</f>
        <v>27.742756999999997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0.53249321999999999</v>
      </c>
      <c r="E46" s="160"/>
      <c r="F46" s="161">
        <f>F45/$B$45</f>
        <v>0.55485513999999991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30694984.445367638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5.8516022110405201E-3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 metronidazole BP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Metronidazole 400 mg</v>
      </c>
      <c r="H56" s="179"/>
    </row>
    <row r="57" spans="1:12" ht="18.75" x14ac:dyDescent="0.3">
      <c r="A57" s="176" t="s">
        <v>88</v>
      </c>
      <c r="B57" s="247">
        <f>Uniformity!C46</f>
        <v>518.35699999999997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1" t="s">
        <v>94</v>
      </c>
      <c r="D60" s="314">
        <v>532.88</v>
      </c>
      <c r="E60" s="182">
        <v>1</v>
      </c>
      <c r="F60" s="183">
        <v>36925733</v>
      </c>
      <c r="G60" s="248">
        <f>IF(ISBLANK(F60),"-",(F60/$D$50*$D$47*$B$68)*($B$57/$D$60))</f>
        <v>390.0677092103686</v>
      </c>
      <c r="H60" s="266">
        <f t="shared" ref="H60:H71" si="0">IF(ISBLANK(F60),"-",(G60/$B$56)*100)</f>
        <v>97.516927302592151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12"/>
      <c r="D61" s="315"/>
      <c r="E61" s="184">
        <v>2</v>
      </c>
      <c r="F61" s="137">
        <v>36877206</v>
      </c>
      <c r="G61" s="249">
        <f>IF(ISBLANK(F61),"-",(F61/$D$50*$D$47*$B$68)*($B$57/$D$60))</f>
        <v>389.55509065991617</v>
      </c>
      <c r="H61" s="267">
        <f t="shared" si="0"/>
        <v>97.388772664979044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4">
        <v>3</v>
      </c>
      <c r="F62" s="185">
        <v>36735416</v>
      </c>
      <c r="G62" s="249">
        <f>IF(ISBLANK(F62),"-",(F62/$D$50*$D$47*$B$68)*($B$57/$D$60))</f>
        <v>388.05728151719887</v>
      </c>
      <c r="H62" s="267">
        <f t="shared" si="0"/>
        <v>97.014320379299718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519.79</v>
      </c>
      <c r="E64" s="182">
        <v>1</v>
      </c>
      <c r="F64" s="183">
        <v>36000260</v>
      </c>
      <c r="G64" s="248">
        <f>IF(ISBLANK(F64),"-",(F64/$D$50*$D$47*$B$68)*($B$57/$D$64))</f>
        <v>389.86837924579794</v>
      </c>
      <c r="H64" s="266">
        <f t="shared" si="0"/>
        <v>97.467094811449485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4">
        <v>2</v>
      </c>
      <c r="F65" s="137">
        <v>35880758</v>
      </c>
      <c r="G65" s="249">
        <f>IF(ISBLANK(F65),"-",(F65/$D$50*$D$47*$B$68)*($B$57/$D$64))</f>
        <v>388.57422050759357</v>
      </c>
      <c r="H65" s="267">
        <f t="shared" si="0"/>
        <v>97.143555126898391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4">
        <v>3</v>
      </c>
      <c r="F66" s="137">
        <v>35854430</v>
      </c>
      <c r="G66" s="249">
        <f>IF(ISBLANK(F66),"-",(F66/$D$50*$D$47*$B$68)*($B$57/$D$64))</f>
        <v>388.28909882545065</v>
      </c>
      <c r="H66" s="267">
        <f t="shared" si="0"/>
        <v>97.072274706362663</v>
      </c>
    </row>
    <row r="67" spans="1:8" ht="27" customHeight="1" x14ac:dyDescent="0.4">
      <c r="A67" s="124" t="s">
        <v>102</v>
      </c>
      <c r="B67" s="125">
        <v>1</v>
      </c>
      <c r="C67" s="321"/>
      <c r="D67" s="31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666.66666666666674</v>
      </c>
      <c r="C68" s="311" t="s">
        <v>104</v>
      </c>
      <c r="D68" s="314">
        <v>516.13</v>
      </c>
      <c r="E68" s="182">
        <v>1</v>
      </c>
      <c r="F68" s="183">
        <v>35219966</v>
      </c>
      <c r="G68" s="248">
        <f>IF(ISBLANK(F68),"-",(F68/$D$50*$D$47*$B$68)*($B$57/$D$68))</f>
        <v>384.12283422138415</v>
      </c>
      <c r="H68" s="267">
        <f t="shared" si="0"/>
        <v>96.030708555346038</v>
      </c>
    </row>
    <row r="69" spans="1:8" ht="27" customHeight="1" x14ac:dyDescent="0.4">
      <c r="A69" s="172" t="s">
        <v>105</v>
      </c>
      <c r="B69" s="189">
        <f>(D47*B68)/B56*B57</f>
        <v>431.9641666666667</v>
      </c>
      <c r="C69" s="312"/>
      <c r="D69" s="315"/>
      <c r="E69" s="184">
        <v>2</v>
      </c>
      <c r="F69" s="137">
        <v>35304887</v>
      </c>
      <c r="G69" s="249">
        <f>IF(ISBLANK(F69),"-",(F69/$D$50*$D$47*$B$68)*($B$57/$D$68))</f>
        <v>385.04901612641254</v>
      </c>
      <c r="H69" s="267">
        <f t="shared" si="0"/>
        <v>96.262254031603135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7">
        <v>35269039</v>
      </c>
      <c r="G70" s="249">
        <f>IF(ISBLANK(F70),"-",(F70/$D$50*$D$47*$B$68)*($B$57/$D$68))</f>
        <v>384.65804370579269</v>
      </c>
      <c r="H70" s="267">
        <f t="shared" si="0"/>
        <v>96.164510926448173</v>
      </c>
    </row>
    <row r="71" spans="1:8" ht="27" customHeight="1" x14ac:dyDescent="0.4">
      <c r="A71" s="319"/>
      <c r="B71" s="320"/>
      <c r="C71" s="313"/>
      <c r="D71" s="31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387.58240822443503</v>
      </c>
      <c r="H72" s="269">
        <f>AVERAGE(H60:H71)</f>
        <v>96.895602056108757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6.0468115183985533E-3</v>
      </c>
      <c r="H73" s="253">
        <f>STDEV(H60:H71)/H72</f>
        <v>6.0468115183985533E-3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298" t="str">
        <f>B26</f>
        <v>Metronidazole</v>
      </c>
      <c r="D76" s="298"/>
      <c r="E76" s="198" t="s">
        <v>108</v>
      </c>
      <c r="F76" s="198"/>
      <c r="G76" s="199">
        <f>H72</f>
        <v>96.895602056108757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2" t="str">
        <f>B26</f>
        <v>Metronidazole</v>
      </c>
      <c r="C79" s="332"/>
    </row>
    <row r="80" spans="1:8" ht="26.25" customHeight="1" x14ac:dyDescent="0.4">
      <c r="A80" s="109" t="s">
        <v>48</v>
      </c>
      <c r="B80" s="332" t="str">
        <f>B27</f>
        <v>M2-4</v>
      </c>
      <c r="C80" s="332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6" t="s">
        <v>60</v>
      </c>
      <c r="G89" s="307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0.76400000000000001</v>
      </c>
      <c r="E91" s="133">
        <f>IF(ISBLANK(D91),"-",$D$101/$D$98*D91)</f>
        <v>0.63767113420816057</v>
      </c>
      <c r="F91" s="132">
        <v>0.79500000000000004</v>
      </c>
      <c r="G91" s="134">
        <f>IF(ISBLANK(F91),"-",$D$101/$F$98*F91)</f>
        <v>0.63680284791690567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0.76200000000000001</v>
      </c>
      <c r="E92" s="138">
        <f>IF(ISBLANK(D92),"-",$D$101/$D$98*D92)</f>
        <v>0.63600183804531196</v>
      </c>
      <c r="F92" s="137">
        <v>0.79900000000000004</v>
      </c>
      <c r="G92" s="139">
        <f>IF(ISBLANK(F92),"-",$D$101/$F$98*F92)</f>
        <v>0.64000688740328004</v>
      </c>
      <c r="I92" s="308">
        <f>ABS((F96/D96*D95)-F95)/D95</f>
        <v>2.1486059871887895E-3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0.76200000000000001</v>
      </c>
      <c r="E93" s="138">
        <f>IF(ISBLANK(D93),"-",$D$101/$D$98*D93)</f>
        <v>0.63600183804531196</v>
      </c>
      <c r="F93" s="137">
        <v>0.79500000000000004</v>
      </c>
      <c r="G93" s="139">
        <f>IF(ISBLANK(F93),"-",$D$101/$F$98*F93)</f>
        <v>0.63680284791690567</v>
      </c>
      <c r="I93" s="30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0.76266666666666671</v>
      </c>
      <c r="E95" s="148">
        <f>AVERAGE(E91:E94)</f>
        <v>0.63655827009959476</v>
      </c>
      <c r="F95" s="211">
        <f>AVERAGE(F91:F94)</f>
        <v>0.79633333333333345</v>
      </c>
      <c r="G95" s="212">
        <f>AVERAGE(G91:G94)</f>
        <v>0.63787086107903046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26.67</v>
      </c>
      <c r="E96" s="140"/>
      <c r="F96" s="152">
        <v>27.79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26.67</v>
      </c>
      <c r="E97" s="155"/>
      <c r="F97" s="154">
        <f>F96*$B$87</f>
        <v>27.79</v>
      </c>
    </row>
    <row r="98" spans="1:10" ht="19.5" customHeight="1" x14ac:dyDescent="0.3">
      <c r="A98" s="124" t="s">
        <v>76</v>
      </c>
      <c r="B98" s="217">
        <f>(B97/B96)*(B95/B94)*(B93/B92)*(B91/B90)*B89</f>
        <v>250</v>
      </c>
      <c r="C98" s="215" t="s">
        <v>115</v>
      </c>
      <c r="D98" s="218">
        <f>D97*$B$83/100</f>
        <v>26.624661</v>
      </c>
      <c r="E98" s="158"/>
      <c r="F98" s="157">
        <f>F97*$B$83/100</f>
        <v>27.742756999999997</v>
      </c>
    </row>
    <row r="99" spans="1:10" ht="19.5" customHeight="1" x14ac:dyDescent="0.3">
      <c r="A99" s="294" t="s">
        <v>78</v>
      </c>
      <c r="B99" s="309"/>
      <c r="C99" s="215" t="s">
        <v>116</v>
      </c>
      <c r="D99" s="219">
        <f>D98/$B$98</f>
        <v>0.106498644</v>
      </c>
      <c r="E99" s="158"/>
      <c r="F99" s="161">
        <f>F98/$B$98</f>
        <v>0.11097102799999999</v>
      </c>
      <c r="G99" s="220"/>
      <c r="H99" s="150"/>
    </row>
    <row r="100" spans="1:10" ht="19.5" customHeight="1" x14ac:dyDescent="0.3">
      <c r="A100" s="296"/>
      <c r="B100" s="310"/>
      <c r="C100" s="215" t="s">
        <v>80</v>
      </c>
      <c r="D100" s="221">
        <f>$B$56/$B$116</f>
        <v>8.8888888888888892E-2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0.63721456558931278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2.357753847926945E-3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thickBot="1" x14ac:dyDescent="0.45">
      <c r="A108" s="124" t="s">
        <v>122</v>
      </c>
      <c r="B108" s="125">
        <v>2</v>
      </c>
      <c r="C108" s="273">
        <v>1</v>
      </c>
      <c r="D108" s="333">
        <v>0.65700000000000003</v>
      </c>
      <c r="E108" s="250">
        <f t="shared" ref="E108:E113" si="1">IF(ISBLANK(D108),"-",D108/$D$103*$D$100*$B$116)</f>
        <v>412.41995113052019</v>
      </c>
      <c r="F108" s="274">
        <f t="shared" ref="F108:F113" si="2">IF(ISBLANK(D108), "-", (E108/$B$56)*100)</f>
        <v>103.10498778263005</v>
      </c>
    </row>
    <row r="109" spans="1:10" ht="26.25" customHeight="1" thickBot="1" x14ac:dyDescent="0.45">
      <c r="A109" s="124" t="s">
        <v>95</v>
      </c>
      <c r="B109" s="125">
        <v>10</v>
      </c>
      <c r="C109" s="271">
        <v>2</v>
      </c>
      <c r="D109" s="333">
        <v>0.626</v>
      </c>
      <c r="E109" s="251">
        <f t="shared" si="1"/>
        <v>392.9602578503891</v>
      </c>
      <c r="F109" s="275">
        <f t="shared" si="2"/>
        <v>98.240064462597275</v>
      </c>
    </row>
    <row r="110" spans="1:10" ht="26.25" customHeight="1" thickBot="1" x14ac:dyDescent="0.45">
      <c r="A110" s="124" t="s">
        <v>96</v>
      </c>
      <c r="B110" s="125">
        <v>1</v>
      </c>
      <c r="C110" s="271">
        <v>3</v>
      </c>
      <c r="D110" s="333">
        <v>0.64200000000000002</v>
      </c>
      <c r="E110" s="251">
        <f t="shared" si="1"/>
        <v>403.0039705111019</v>
      </c>
      <c r="F110" s="275">
        <f t="shared" si="2"/>
        <v>100.75099262777547</v>
      </c>
    </row>
    <row r="111" spans="1:10" ht="26.25" customHeight="1" thickBot="1" x14ac:dyDescent="0.45">
      <c r="A111" s="124" t="s">
        <v>97</v>
      </c>
      <c r="B111" s="125">
        <v>1</v>
      </c>
      <c r="C111" s="271">
        <v>4</v>
      </c>
      <c r="D111" s="333">
        <v>0.63500000000000001</v>
      </c>
      <c r="E111" s="251">
        <f t="shared" si="1"/>
        <v>398.60984622204006</v>
      </c>
      <c r="F111" s="275">
        <f t="shared" si="2"/>
        <v>99.652461555510016</v>
      </c>
    </row>
    <row r="112" spans="1:10" ht="26.25" customHeight="1" thickBot="1" x14ac:dyDescent="0.45">
      <c r="A112" s="124" t="s">
        <v>98</v>
      </c>
      <c r="B112" s="125">
        <v>1</v>
      </c>
      <c r="C112" s="271">
        <v>5</v>
      </c>
      <c r="D112" s="333">
        <v>0.63700000000000001</v>
      </c>
      <c r="E112" s="251">
        <f t="shared" si="1"/>
        <v>399.86531030462919</v>
      </c>
      <c r="F112" s="275">
        <f t="shared" si="2"/>
        <v>99.966327576157298</v>
      </c>
    </row>
    <row r="113" spans="1:10" ht="27" customHeight="1" thickBot="1" x14ac:dyDescent="0.45">
      <c r="A113" s="124" t="s">
        <v>100</v>
      </c>
      <c r="B113" s="125">
        <v>1</v>
      </c>
      <c r="C113" s="272">
        <v>6</v>
      </c>
      <c r="D113" s="333">
        <v>0.63400000000000001</v>
      </c>
      <c r="E113" s="252">
        <f t="shared" si="1"/>
        <v>397.9821141807455</v>
      </c>
      <c r="F113" s="276">
        <f t="shared" si="2"/>
        <v>99.495528545186374</v>
      </c>
    </row>
    <row r="114" spans="1:10" ht="27" customHeight="1" thickBot="1" x14ac:dyDescent="0.45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400.80690836657101</v>
      </c>
      <c r="F115" s="278">
        <f>AVERAGE(F108:F113)</f>
        <v>100.20172709164275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1.6358801162749556E-2</v>
      </c>
      <c r="F116" s="235">
        <f>STDEV(F108:F113)/F115</f>
        <v>1.6358801162749556E-2</v>
      </c>
      <c r="I116" s="98"/>
    </row>
    <row r="117" spans="1:10" ht="27" customHeight="1" x14ac:dyDescent="0.4">
      <c r="A117" s="294" t="s">
        <v>78</v>
      </c>
      <c r="B117" s="29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6"/>
      <c r="B118" s="297"/>
      <c r="C118" s="98"/>
      <c r="D118" s="260"/>
      <c r="E118" s="322" t="s">
        <v>123</v>
      </c>
      <c r="F118" s="32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392.9602578503891</v>
      </c>
      <c r="F119" s="279">
        <f>MIN(F108:F113)</f>
        <v>98.240064462597275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412.41995113052019</v>
      </c>
      <c r="F120" s="280">
        <f>MAX(F108:F113)</f>
        <v>103.10498778263005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298" t="str">
        <f>B26</f>
        <v>Metronidazole</v>
      </c>
      <c r="D124" s="298"/>
      <c r="E124" s="198" t="s">
        <v>127</v>
      </c>
      <c r="F124" s="198"/>
      <c r="G124" s="281">
        <f>F115</f>
        <v>100.20172709164275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98.240064462597275</v>
      </c>
      <c r="E125" s="209" t="s">
        <v>130</v>
      </c>
      <c r="F125" s="281">
        <f>MAX(F108:F113)</f>
        <v>103.10498778263005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299" t="s">
        <v>26</v>
      </c>
      <c r="C127" s="299"/>
      <c r="E127" s="204" t="s">
        <v>27</v>
      </c>
      <c r="F127" s="239"/>
      <c r="G127" s="299" t="s">
        <v>28</v>
      </c>
      <c r="H127" s="29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2017-05-18T07:31:52Z</cp:lastPrinted>
  <dcterms:created xsi:type="dcterms:W3CDTF">2005-07-05T10:19:27Z</dcterms:created>
  <dcterms:modified xsi:type="dcterms:W3CDTF">2017-05-18T07:31:57Z</dcterms:modified>
</cp:coreProperties>
</file>