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DOCUMENTATION 2017\REVIEW WORKSHEETS\"/>
    </mc:Choice>
  </mc:AlternateContent>
  <bookViews>
    <workbookView xWindow="0" yWindow="0" windowWidth="15345" windowHeight="4575"/>
  </bookViews>
  <sheets>
    <sheet name="Doxycycline Hyclate 1" sheetId="4" r:id="rId1"/>
    <sheet name="SST" sheetId="1" r:id="rId2"/>
    <sheet name="Uniformity" sheetId="2" r:id="rId3"/>
    <sheet name="Doxycycline Hyclate" sheetId="3" r:id="rId4"/>
  </sheets>
  <definedNames>
    <definedName name="_xlnm.Print_Area" localSheetId="0">'Doxycycline Hyclate 1'!$A$1:$H$172</definedName>
    <definedName name="_xlnm.Print_Titles" localSheetId="0">'Doxycycline Hyclate 1'!$1:$23</definedName>
  </definedNames>
  <calcPr calcId="162913"/>
</workbook>
</file>

<file path=xl/calcChain.xml><?xml version="1.0" encoding="utf-8"?>
<calcChain xmlns="http://schemas.openxmlformats.org/spreadsheetml/2006/main">
  <c r="E152" i="4" l="1"/>
  <c r="E151" i="4"/>
  <c r="F151" i="4"/>
  <c r="B126" i="4" l="1"/>
  <c r="B30" i="4" l="1"/>
  <c r="B34" i="4"/>
  <c r="D44" i="4" s="1"/>
  <c r="E41" i="4"/>
  <c r="G41" i="4"/>
  <c r="D42" i="4"/>
  <c r="F42" i="4"/>
  <c r="B45" i="4"/>
  <c r="D48" i="4" s="1"/>
  <c r="D49" i="4" s="1"/>
  <c r="B55" i="4"/>
  <c r="C56" i="4"/>
  <c r="G63" i="4"/>
  <c r="H63" i="4"/>
  <c r="G67" i="4"/>
  <c r="H67" i="4"/>
  <c r="B68" i="4"/>
  <c r="G71" i="4"/>
  <c r="H71" i="4"/>
  <c r="C76" i="4"/>
  <c r="B80" i="4"/>
  <c r="B81" i="4"/>
  <c r="B82" i="4"/>
  <c r="B83" i="4"/>
  <c r="B87" i="4"/>
  <c r="D97" i="4" s="1"/>
  <c r="E94" i="4"/>
  <c r="G94" i="4"/>
  <c r="D95" i="4"/>
  <c r="F95" i="4"/>
  <c r="B98" i="4"/>
  <c r="B116" i="4"/>
  <c r="D100" i="4" s="1"/>
  <c r="B130" i="4"/>
  <c r="F140" i="4" s="1"/>
  <c r="F141" i="4" s="1"/>
  <c r="E137" i="4"/>
  <c r="G137" i="4"/>
  <c r="D138" i="4"/>
  <c r="F138" i="4"/>
  <c r="D140" i="4"/>
  <c r="D141" i="4" s="1"/>
  <c r="B141" i="4"/>
  <c r="B159" i="4"/>
  <c r="D143" i="4" s="1"/>
  <c r="C168" i="4"/>
  <c r="D45" i="4" l="1"/>
  <c r="E38" i="4" s="1"/>
  <c r="D142" i="4"/>
  <c r="D144" i="4"/>
  <c r="F142" i="4"/>
  <c r="D101" i="4"/>
  <c r="D102" i="4" s="1"/>
  <c r="D46" i="4"/>
  <c r="D98" i="4"/>
  <c r="F97" i="4"/>
  <c r="F98" i="4" s="1"/>
  <c r="F44" i="4"/>
  <c r="F45" i="4" s="1"/>
  <c r="B21" i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40" i="4" l="1"/>
  <c r="E39" i="4"/>
  <c r="E42" i="4" s="1"/>
  <c r="D145" i="4"/>
  <c r="G134" i="4"/>
  <c r="G136" i="4"/>
  <c r="E135" i="4"/>
  <c r="G135" i="4"/>
  <c r="E134" i="4"/>
  <c r="E136" i="4"/>
  <c r="F99" i="4"/>
  <c r="G91" i="4"/>
  <c r="G92" i="4"/>
  <c r="G93" i="4"/>
  <c r="D99" i="4"/>
  <c r="E91" i="4"/>
  <c r="E92" i="4"/>
  <c r="E93" i="4"/>
  <c r="F46" i="4"/>
  <c r="G40" i="4"/>
  <c r="G38" i="4"/>
  <c r="G39" i="4"/>
  <c r="I92" i="3"/>
  <c r="D101" i="3"/>
  <c r="D102" i="3" s="1"/>
  <c r="I39" i="3"/>
  <c r="F45" i="3"/>
  <c r="F46" i="3" s="1"/>
  <c r="G40" i="3"/>
  <c r="D49" i="3"/>
  <c r="G41" i="3"/>
  <c r="F98" i="3"/>
  <c r="F99" i="3" s="1"/>
  <c r="D43" i="2"/>
  <c r="D97" i="3"/>
  <c r="D98" i="3" s="1"/>
  <c r="D99" i="3" s="1"/>
  <c r="D44" i="3"/>
  <c r="D45" i="3" s="1"/>
  <c r="D46" i="3" s="1"/>
  <c r="G39" i="3" l="1"/>
  <c r="G42" i="3" s="1"/>
  <c r="E27" i="2"/>
  <c r="B57" i="4"/>
  <c r="B69" i="4" s="1"/>
  <c r="G38" i="3"/>
  <c r="E33" i="2"/>
  <c r="E21" i="2"/>
  <c r="E35" i="2"/>
  <c r="D148" i="4"/>
  <c r="D146" i="4"/>
  <c r="E138" i="4"/>
  <c r="G138" i="4"/>
  <c r="G95" i="4"/>
  <c r="E95" i="4"/>
  <c r="D103" i="4"/>
  <c r="E108" i="4" s="1"/>
  <c r="D105" i="4"/>
  <c r="D52" i="4"/>
  <c r="D50" i="4"/>
  <c r="G42" i="4"/>
  <c r="G94" i="3"/>
  <c r="G91" i="3"/>
  <c r="E29" i="2"/>
  <c r="E31" i="2"/>
  <c r="E93" i="3"/>
  <c r="G92" i="3"/>
  <c r="E40" i="3"/>
  <c r="E38" i="3"/>
  <c r="E41" i="3"/>
  <c r="E25" i="2"/>
  <c r="E92" i="3"/>
  <c r="E94" i="3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B57" i="3" s="1"/>
  <c r="B69" i="3" s="1"/>
  <c r="C48" i="2"/>
  <c r="D47" i="2"/>
  <c r="E39" i="3"/>
  <c r="E37" i="2"/>
  <c r="E39" i="2"/>
  <c r="E23" i="2"/>
  <c r="G93" i="3"/>
  <c r="E91" i="3"/>
  <c r="D51" i="4" l="1"/>
  <c r="G70" i="4"/>
  <c r="H70" i="4" s="1"/>
  <c r="G60" i="4"/>
  <c r="H60" i="4" s="1"/>
  <c r="G66" i="4"/>
  <c r="H66" i="4" s="1"/>
  <c r="G68" i="4"/>
  <c r="H68" i="4" s="1"/>
  <c r="G62" i="4"/>
  <c r="H62" i="4" s="1"/>
  <c r="G65" i="4"/>
  <c r="H65" i="4" s="1"/>
  <c r="G61" i="4"/>
  <c r="H61" i="4" s="1"/>
  <c r="G64" i="4"/>
  <c r="H64" i="4" s="1"/>
  <c r="G69" i="4"/>
  <c r="H69" i="4" s="1"/>
  <c r="D147" i="4"/>
  <c r="E155" i="4"/>
  <c r="F155" i="4" s="1"/>
  <c r="E153" i="4"/>
  <c r="F153" i="4" s="1"/>
  <c r="E156" i="4"/>
  <c r="F156" i="4" s="1"/>
  <c r="E154" i="4"/>
  <c r="F154" i="4" s="1"/>
  <c r="F152" i="4"/>
  <c r="F158" i="4" s="1"/>
  <c r="D104" i="4"/>
  <c r="E109" i="4"/>
  <c r="F109" i="4" s="1"/>
  <c r="E112" i="4"/>
  <c r="F112" i="4" s="1"/>
  <c r="E110" i="4"/>
  <c r="F110" i="4" s="1"/>
  <c r="E113" i="4"/>
  <c r="F113" i="4" s="1"/>
  <c r="F108" i="4"/>
  <c r="E111" i="4"/>
  <c r="F111" i="4" s="1"/>
  <c r="G95" i="3"/>
  <c r="D103" i="3"/>
  <c r="E95" i="3"/>
  <c r="D105" i="3"/>
  <c r="D50" i="3"/>
  <c r="E42" i="3"/>
  <c r="D52" i="3"/>
  <c r="H74" i="4" l="1"/>
  <c r="H72" i="4"/>
  <c r="F160" i="4"/>
  <c r="F159" i="4"/>
  <c r="F117" i="4"/>
  <c r="B167" i="4"/>
  <c r="F115" i="4"/>
  <c r="F116" i="4" s="1"/>
  <c r="B165" i="4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73" i="4" l="1"/>
  <c r="G76" i="4"/>
  <c r="B166" i="4"/>
  <c r="G168" i="4"/>
  <c r="E120" i="3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<sst xmlns="http://schemas.openxmlformats.org/spreadsheetml/2006/main" count="477" uniqueCount="163">
  <si>
    <t>HPLC System Suitability Report</t>
  </si>
  <si>
    <t>Analysis Data</t>
  </si>
  <si>
    <t>Assay</t>
  </si>
  <si>
    <t>Sample(s)</t>
  </si>
  <si>
    <t>Reference Substance:</t>
  </si>
  <si>
    <t>DOXYCYCLINE CAPSULES B.P 100 MG</t>
  </si>
  <si>
    <t>% age Purity:</t>
  </si>
  <si>
    <t>NDQB201705386</t>
  </si>
  <si>
    <t>Weight (mg):</t>
  </si>
  <si>
    <t>DOXYCYCLINE B.P</t>
  </si>
  <si>
    <t>Standard Conc (mg/mL):</t>
  </si>
  <si>
    <t>Each hard gelatin  capsule contains:  Doxycycline Hyclate BP Equivalent to  Doxycycline 100 mg.</t>
  </si>
  <si>
    <t>2017-05-10 07:05:52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</si>
  <si>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</si>
  <si>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</si>
  <si>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</si>
  <si>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</si>
  <si>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</si>
  <si>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</si>
  <si>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</si>
  <si>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</si>
  <si>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</si>
  <si>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</si>
  <si>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</si>
  <si>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</si>
  <si>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</si>
  <si>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</si>
  <si>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</si>
  <si>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</si>
  <si>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</si>
  <si>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</si>
  <si>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</si>
  <si>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</si>
  <si>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</si>
  <si>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</si>
  <si>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</si>
  <si>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</si>
  <si>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</si>
  <si>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</si>
  <si>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2017-05-15 10:47:53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</si>
  <si>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</si>
  <si>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</si>
  <si>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</si>
  <si>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</si>
  <si>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</si>
  <si>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</si>
  <si>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</si>
  <si>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</si>
  <si>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</si>
  <si>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</si>
  <si>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</si>
  <si>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</si>
  <si>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</si>
  <si>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</si>
  <si>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</si>
  <si>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</si>
  <si>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</si>
  <si>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</si>
  <si>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</si>
  <si>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</si>
  <si>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</si>
  <si>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</si>
  <si>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</si>
  <si>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</si>
  <si>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</si>
  <si>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</si>
  <si>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</si>
  <si>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</si>
  <si>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</si>
  <si>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</si>
  <si>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</si>
  <si>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</si>
  <si>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</si>
  <si>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</si>
  <si>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</si>
  <si>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</si>
  <si>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</si>
  <si>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</si>
  <si>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</si>
  <si>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</si>
  <si>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</si>
  <si>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</si>
  <si>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</si>
  <si>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</si>
  <si>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</si>
  <si>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</si>
  <si>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</si>
  <si>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</si>
  <si>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</si>
  <si>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</si>
  <si>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</si>
  <si>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</si>
  <si>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</si>
  <si>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</si>
  <si>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</si>
  <si>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</si>
  <si>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</si>
  <si>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</si>
  <si>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</si>
  <si>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</si>
  <si>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</si>
  <si>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</si>
  <si>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</si>
  <si>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</si>
  <si>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</si>
  <si>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</si>
  <si>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</si>
  <si>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</si>
  <si>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</si>
  <si>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</si>
  <si>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</si>
  <si>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</si>
  <si>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</si>
  <si>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</si>
  <si>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</si>
  <si>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</si>
  <si>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</si>
  <si>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</si>
  <si>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</si>
  <si>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</si>
  <si>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</si>
  <si>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</si>
  <si>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</si>
  <si>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</si>
  <si>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</si>
  <si>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</si>
  <si>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</si>
  <si>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</si>
  <si>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</si>
  <si>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</si>
  <si>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</si>
  <si>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</si>
  <si>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</si>
  <si>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</si>
  <si>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</si>
  <si>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Doxycycline Hyclate</t>
  </si>
  <si>
    <t>D23-2</t>
  </si>
  <si>
    <t>Doxycycline</t>
  </si>
  <si>
    <t>Comment</t>
  </si>
  <si>
    <t>Dissolution Result Summary</t>
  </si>
  <si>
    <t>Analysis Data:</t>
  </si>
  <si>
    <t>Desired Concetration (mg/mL):</t>
  </si>
  <si>
    <t>Initial Standard dilution (mL):</t>
  </si>
  <si>
    <t>Repeat Determination of Active Ingredient Dissolved</t>
  </si>
  <si>
    <t>If correction for water content is NOT needed please enter 0</t>
  </si>
  <si>
    <t>Desired Sample Weight (mg)</t>
  </si>
  <si>
    <t>Initial Sample dilution (mL):</t>
  </si>
  <si>
    <t>Average tablet Content Weight (mg):</t>
  </si>
  <si>
    <t>Each tablet contains</t>
  </si>
  <si>
    <t>DOXYCYCLINE HYCLATE</t>
  </si>
  <si>
    <t>DOXYCYCLINE CAPSULES B.P. 100 mg</t>
  </si>
  <si>
    <t>Doxycycline as Doxycycline Hyclate B.P.</t>
  </si>
  <si>
    <t xml:space="preserve">DOXYCYCLINE CAPSULES BP 100 mg </t>
  </si>
  <si>
    <t>DOXYCYCLINE as Doxycycline Hyclate</t>
  </si>
  <si>
    <t>Determination</t>
  </si>
  <si>
    <t>Average Normalised Absorbance:</t>
  </si>
  <si>
    <r>
      <t xml:space="preserve">} </t>
    </r>
    <r>
      <rPr>
        <sz val="26"/>
        <color rgb="FF000000"/>
        <rFont val="Calibri"/>
        <family val="2"/>
      </rPr>
      <t>Filtered through Filter Paper</t>
    </r>
  </si>
  <si>
    <r>
      <t xml:space="preserve">} </t>
    </r>
    <r>
      <rPr>
        <sz val="26"/>
        <color rgb="FF000000"/>
        <rFont val="Calibri"/>
        <family val="2"/>
      </rPr>
      <t>Filtered through Membrane Syringe Filter</t>
    </r>
  </si>
  <si>
    <t xml:space="preserve">The average amount  of </t>
  </si>
  <si>
    <t xml:space="preserve">S. KARIUKI </t>
  </si>
  <si>
    <t>R. MANANI</t>
  </si>
  <si>
    <t>S. K.</t>
  </si>
  <si>
    <t xml:space="preserve">R. 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</si>
</sst>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000000"/>
    <numFmt numFmtId="177" formatCode="dd/mmm/yyyy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26"/>
      <color rgb="FF000000"/>
      <name val="Calibri"/>
      <family val="2"/>
    </font>
    <font>
      <sz val="10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10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5" fillId="2" borderId="0"/>
  </cellStyleXfs>
  <cellXfs count="6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4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25" fillId="2" borderId="0" xfId="1" applyFill="1"/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11" fillId="2" borderId="0" xfId="1" applyFont="1" applyFill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0" fontId="11" fillId="2" borderId="11" xfId="1" applyFont="1" applyFill="1" applyBorder="1" applyAlignment="1">
      <alignment vertical="center"/>
    </xf>
    <xf numFmtId="0" fontId="11" fillId="2" borderId="0" xfId="1" applyFont="1" applyFill="1" applyAlignment="1">
      <alignment vertical="center"/>
    </xf>
    <xf numFmtId="0" fontId="12" fillId="2" borderId="11" xfId="1" applyFont="1" applyFill="1" applyBorder="1" applyAlignment="1" applyProtection="1">
      <alignment vertical="center"/>
      <protection locked="0"/>
    </xf>
    <xf numFmtId="0" fontId="12" fillId="2" borderId="0" xfId="1" applyFont="1" applyFill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10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vertical="center"/>
    </xf>
    <xf numFmtId="0" fontId="19" fillId="2" borderId="9" xfId="1" applyFont="1" applyFill="1" applyBorder="1" applyAlignment="1">
      <alignment horizontal="left" vertical="center" wrapText="1"/>
    </xf>
    <xf numFmtId="165" fontId="13" fillId="2" borderId="0" xfId="1" applyNumberFormat="1" applyFont="1" applyFill="1" applyAlignment="1">
      <alignment horizontal="center" vertical="center"/>
    </xf>
    <xf numFmtId="0" fontId="11" fillId="2" borderId="0" xfId="1" applyFont="1" applyFill="1" applyAlignment="1">
      <alignment horizontal="right" vertical="center"/>
    </xf>
    <xf numFmtId="0" fontId="11" fillId="2" borderId="0" xfId="1" applyFont="1" applyFill="1"/>
    <xf numFmtId="0" fontId="11" fillId="2" borderId="0" xfId="1" applyFont="1" applyFill="1" applyAlignment="1">
      <alignment horizontal="center"/>
    </xf>
    <xf numFmtId="0" fontId="13" fillId="7" borderId="27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65" fontId="13" fillId="6" borderId="39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right"/>
    </xf>
    <xf numFmtId="165" fontId="13" fillId="7" borderId="23" xfId="1" applyNumberFormat="1" applyFont="1" applyFill="1" applyBorder="1" applyAlignment="1">
      <alignment horizontal="center"/>
    </xf>
    <xf numFmtId="171" fontId="11" fillId="2" borderId="20" xfId="1" applyNumberFormat="1" applyFont="1" applyFill="1" applyBorder="1" applyAlignment="1">
      <alignment horizontal="right"/>
    </xf>
    <xf numFmtId="0" fontId="19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/>
    </xf>
    <xf numFmtId="10" fontId="11" fillId="2" borderId="0" xfId="1" applyNumberFormat="1" applyFont="1" applyFill="1" applyAlignment="1">
      <alignment horizontal="center"/>
    </xf>
    <xf numFmtId="0" fontId="13" fillId="7" borderId="19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0" fontId="11" fillId="2" borderId="9" xfId="1" applyFont="1" applyFill="1" applyBorder="1" applyAlignment="1">
      <alignment horizontal="center"/>
    </xf>
    <xf numFmtId="0" fontId="11" fillId="2" borderId="52" xfId="1" applyFont="1" applyFill="1" applyBorder="1"/>
    <xf numFmtId="10" fontId="13" fillId="6" borderId="16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right"/>
    </xf>
    <xf numFmtId="0" fontId="11" fillId="2" borderId="35" xfId="1" applyFont="1" applyFill="1" applyBorder="1"/>
    <xf numFmtId="171" fontId="11" fillId="2" borderId="49" xfId="1" applyNumberFormat="1" applyFont="1" applyFill="1" applyBorder="1" applyAlignment="1">
      <alignment horizontal="center"/>
    </xf>
    <xf numFmtId="10" fontId="13" fillId="7" borderId="16" xfId="1" applyNumberFormat="1" applyFont="1" applyFill="1" applyBorder="1" applyAlignment="1">
      <alignment horizontal="center"/>
    </xf>
    <xf numFmtId="171" fontId="11" fillId="2" borderId="1" xfId="1" applyNumberFormat="1" applyFont="1" applyFill="1" applyBorder="1" applyAlignment="1">
      <alignment horizontal="right"/>
    </xf>
    <xf numFmtId="171" fontId="12" fillId="2" borderId="0" xfId="1" applyNumberFormat="1" applyFont="1" applyFill="1" applyAlignment="1">
      <alignment horizontal="center"/>
    </xf>
    <xf numFmtId="0" fontId="11" fillId="2" borderId="35" xfId="1" applyFont="1" applyFill="1" applyBorder="1" applyAlignment="1">
      <alignment horizontal="center"/>
    </xf>
    <xf numFmtId="0" fontId="13" fillId="3" borderId="44" xfId="1" applyFont="1" applyFill="1" applyBorder="1" applyAlignment="1" applyProtection="1">
      <alignment horizontal="center" vertical="center"/>
      <protection locked="0"/>
    </xf>
    <xf numFmtId="2" fontId="11" fillId="2" borderId="36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0" fontId="13" fillId="3" borderId="46" xfId="1" applyFont="1" applyFill="1" applyBorder="1" applyAlignment="1" applyProtection="1">
      <alignment horizontal="center" vertical="center"/>
      <protection locked="0"/>
    </xf>
    <xf numFmtId="0" fontId="11" fillId="2" borderId="45" xfId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 vertical="center"/>
      <protection locked="0"/>
    </xf>
    <xf numFmtId="10" fontId="11" fillId="2" borderId="40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0" fontId="13" fillId="3" borderId="38" xfId="1" applyFont="1" applyFill="1" applyBorder="1" applyAlignment="1" applyProtection="1">
      <alignment horizontal="center" vertical="center"/>
      <protection locked="0"/>
    </xf>
    <xf numFmtId="0" fontId="12" fillId="2" borderId="34" xfId="1" applyFont="1" applyFill="1" applyBorder="1" applyAlignment="1">
      <alignment horizontal="center" wrapText="1"/>
    </xf>
    <xf numFmtId="0" fontId="12" fillId="2" borderId="61" xfId="1" applyFont="1" applyFill="1" applyBorder="1"/>
    <xf numFmtId="0" fontId="12" fillId="2" borderId="61" xfId="1" applyFont="1" applyFill="1" applyBorder="1" applyAlignment="1">
      <alignment horizontal="center"/>
    </xf>
    <xf numFmtId="0" fontId="12" fillId="2" borderId="20" xfId="1" applyFont="1" applyFill="1" applyBorder="1" applyAlignment="1">
      <alignment horizontal="center"/>
    </xf>
    <xf numFmtId="0" fontId="13" fillId="3" borderId="62" xfId="1" applyFont="1" applyFill="1" applyBorder="1" applyAlignment="1" applyProtection="1">
      <alignment horizontal="center" vertical="center"/>
      <protection locked="0"/>
    </xf>
    <xf numFmtId="0" fontId="11" fillId="2" borderId="33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71" fontId="11" fillId="2" borderId="0" xfId="1" applyNumberFormat="1" applyFont="1" applyFill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10" fontId="12" fillId="6" borderId="1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1" fontId="12" fillId="7" borderId="14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7" xfId="1" applyNumberFormat="1" applyFont="1" applyFill="1" applyBorder="1" applyAlignment="1">
      <alignment horizontal="center"/>
    </xf>
    <xf numFmtId="0" fontId="11" fillId="2" borderId="2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39" xfId="1" applyNumberFormat="1" applyFont="1" applyFill="1" applyBorder="1" applyAlignment="1">
      <alignment horizontal="center"/>
    </xf>
    <xf numFmtId="0" fontId="11" fillId="2" borderId="37" xfId="1" applyFont="1" applyFill="1" applyBorder="1" applyAlignment="1">
      <alignment horizontal="right"/>
    </xf>
    <xf numFmtId="2" fontId="11" fillId="7" borderId="39" xfId="1" applyNumberFormat="1" applyFont="1" applyFill="1" applyBorder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3" fillId="3" borderId="31" xfId="1" applyFont="1" applyFill="1" applyBorder="1" applyAlignment="1" applyProtection="1">
      <alignment horizontal="center" vertical="center"/>
      <protection locked="0"/>
    </xf>
    <xf numFmtId="0" fontId="13" fillId="3" borderId="36" xfId="1" applyFont="1" applyFill="1" applyBorder="1" applyAlignment="1" applyProtection="1">
      <alignment horizontal="center" vertical="center"/>
      <protection locked="0"/>
    </xf>
    <xf numFmtId="0" fontId="11" fillId="2" borderId="21" xfId="1" applyFont="1" applyFill="1" applyBorder="1" applyAlignment="1">
      <alignment horizontal="right"/>
    </xf>
    <xf numFmtId="171" fontId="12" fillId="6" borderId="49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171" fontId="11" fillId="2" borderId="47" xfId="1" applyNumberFormat="1" applyFont="1" applyFill="1" applyBorder="1" applyAlignment="1">
      <alignment horizontal="center"/>
    </xf>
    <xf numFmtId="0" fontId="13" fillId="3" borderId="45" xfId="1" applyFont="1" applyFill="1" applyBorder="1" applyAlignment="1" applyProtection="1">
      <alignment horizontal="center" vertical="center"/>
      <protection locked="0"/>
    </xf>
    <xf numFmtId="0" fontId="11" fillId="2" borderId="7" xfId="1" applyFont="1" applyFill="1" applyBorder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 vertical="center"/>
      <protection locked="0"/>
    </xf>
    <xf numFmtId="171" fontId="11" fillId="2" borderId="42" xfId="1" applyNumberFormat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 vertical="center"/>
      <protection locked="0"/>
    </xf>
    <xf numFmtId="0" fontId="11" fillId="2" borderId="55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8" fillId="2" borderId="0" xfId="1" applyFont="1" applyFill="1" applyAlignment="1">
      <alignment vertical="center"/>
    </xf>
    <xf numFmtId="169" fontId="12" fillId="2" borderId="0" xfId="1" applyNumberFormat="1" applyFont="1" applyFill="1" applyAlignment="1">
      <alignment horizontal="center" vertical="center"/>
    </xf>
    <xf numFmtId="0" fontId="15" fillId="2" borderId="0" xfId="1" applyFont="1" applyFill="1" applyAlignment="1">
      <alignment vertical="center" wrapText="1"/>
    </xf>
    <xf numFmtId="2" fontId="12" fillId="2" borderId="0" xfId="1" applyNumberFormat="1" applyFont="1" applyFill="1" applyAlignment="1">
      <alignment horizontal="center" vertical="center"/>
    </xf>
    <xf numFmtId="2" fontId="13" fillId="3" borderId="0" xfId="1" applyNumberFormat="1" applyFont="1" applyFill="1" applyAlignment="1" applyProtection="1">
      <alignment horizontal="center" vertical="center"/>
      <protection locked="0"/>
    </xf>
    <xf numFmtId="0" fontId="17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2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right"/>
    </xf>
    <xf numFmtId="0" fontId="13" fillId="7" borderId="18" xfId="1" applyFont="1" applyFill="1" applyBorder="1" applyAlignment="1">
      <alignment horizontal="center" vertical="center"/>
    </xf>
    <xf numFmtId="0" fontId="11" fillId="2" borderId="63" xfId="1" applyFont="1" applyFill="1" applyBorder="1" applyAlignment="1">
      <alignment horizontal="right" vertical="center"/>
    </xf>
    <xf numFmtId="0" fontId="11" fillId="2" borderId="64" xfId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vertical="center"/>
    </xf>
    <xf numFmtId="10" fontId="13" fillId="6" borderId="39" xfId="1" applyNumberFormat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horizontal="center" vertical="center"/>
    </xf>
    <xf numFmtId="0" fontId="11" fillId="2" borderId="35" xfId="1" applyFont="1" applyFill="1" applyBorder="1" applyAlignment="1">
      <alignment horizontal="right" vertical="center"/>
    </xf>
    <xf numFmtId="10" fontId="13" fillId="7" borderId="39" xfId="1" applyNumberFormat="1" applyFont="1" applyFill="1" applyBorder="1" applyAlignment="1">
      <alignment horizontal="center" vertical="center"/>
    </xf>
    <xf numFmtId="171" fontId="11" fillId="2" borderId="2" xfId="1" applyNumberFormat="1" applyFont="1" applyFill="1" applyBorder="1" applyAlignment="1">
      <alignment horizontal="right" vertical="center"/>
    </xf>
    <xf numFmtId="171" fontId="12" fillId="2" borderId="0" xfId="1" applyNumberFormat="1" applyFont="1" applyFill="1" applyAlignment="1">
      <alignment horizontal="center" vertical="center"/>
    </xf>
    <xf numFmtId="0" fontId="11" fillId="2" borderId="35" xfId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10" fontId="11" fillId="2" borderId="47" xfId="1" applyNumberFormat="1" applyFont="1" applyFill="1" applyBorder="1" applyAlignment="1">
      <alignment horizontal="center" vertical="center"/>
    </xf>
    <xf numFmtId="2" fontId="11" fillId="2" borderId="46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center" vertical="center"/>
    </xf>
    <xf numFmtId="10" fontId="11" fillId="2" borderId="44" xfId="1" applyNumberFormat="1" applyFont="1" applyFill="1" applyBorder="1" applyAlignment="1">
      <alignment horizontal="center" vertical="center"/>
    </xf>
    <xf numFmtId="2" fontId="11" fillId="2" borderId="43" xfId="1" applyNumberFormat="1" applyFont="1" applyFill="1" applyBorder="1" applyAlignment="1">
      <alignment horizontal="center" vertical="center"/>
    </xf>
    <xf numFmtId="10" fontId="11" fillId="2" borderId="42" xfId="1" applyNumberFormat="1" applyFont="1" applyFill="1" applyBorder="1" applyAlignment="1">
      <alignment horizontal="center" vertical="center"/>
    </xf>
    <xf numFmtId="2" fontId="11" fillId="2" borderId="38" xfId="1" applyNumberFormat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 wrapText="1"/>
    </xf>
    <xf numFmtId="0" fontId="12" fillId="2" borderId="22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3" fillId="3" borderId="34" xfId="1" applyFont="1" applyFill="1" applyBorder="1" applyAlignment="1" applyProtection="1">
      <alignment horizontal="center" vertical="center"/>
      <protection locked="0"/>
    </xf>
    <xf numFmtId="0" fontId="11" fillId="2" borderId="33" xfId="1" applyFont="1" applyFill="1" applyBorder="1" applyAlignment="1">
      <alignment horizontal="right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171" fontId="11" fillId="2" borderId="0" xfId="1" applyNumberFormat="1" applyFont="1" applyFill="1" applyAlignment="1">
      <alignment horizontal="center" vertical="center"/>
    </xf>
    <xf numFmtId="0" fontId="11" fillId="2" borderId="18" xfId="1" applyFont="1" applyFill="1" applyBorder="1" applyAlignment="1">
      <alignment horizontal="right" vertical="center"/>
    </xf>
    <xf numFmtId="0" fontId="11" fillId="2" borderId="17" xfId="1" applyFont="1" applyFill="1" applyBorder="1" applyAlignment="1">
      <alignment horizontal="right" vertical="center"/>
    </xf>
    <xf numFmtId="2" fontId="2" fillId="2" borderId="0" xfId="1" applyNumberFormat="1" applyFont="1" applyFill="1" applyAlignment="1">
      <alignment horizontal="center" vertical="center"/>
    </xf>
    <xf numFmtId="1" fontId="11" fillId="2" borderId="0" xfId="1" applyNumberFormat="1" applyFont="1" applyFill="1" applyAlignment="1">
      <alignment horizontal="center" vertical="center"/>
    </xf>
    <xf numFmtId="2" fontId="11" fillId="6" borderId="39" xfId="1" applyNumberFormat="1" applyFont="1" applyFill="1" applyBorder="1" applyAlignment="1">
      <alignment horizontal="center" vertical="center"/>
    </xf>
    <xf numFmtId="164" fontId="11" fillId="6" borderId="18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39" xfId="1" applyNumberFormat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right"/>
    </xf>
    <xf numFmtId="2" fontId="11" fillId="7" borderId="17" xfId="1" applyNumberFormat="1" applyFont="1" applyFill="1" applyBorder="1" applyAlignment="1">
      <alignment horizontal="center" vertical="center"/>
    </xf>
    <xf numFmtId="2" fontId="11" fillId="7" borderId="39" xfId="1" applyNumberFormat="1" applyFont="1" applyFill="1" applyBorder="1" applyAlignment="1">
      <alignment horizontal="center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3" fillId="3" borderId="28" xfId="1" applyFont="1" applyFill="1" applyBorder="1" applyAlignment="1" applyProtection="1">
      <alignment horizontal="center" vertical="center"/>
      <protection locked="0"/>
    </xf>
    <xf numFmtId="0" fontId="13" fillId="3" borderId="23" xfId="1" applyFont="1" applyFill="1" applyBorder="1" applyAlignment="1" applyProtection="1">
      <alignment horizontal="center" vertical="center"/>
      <protection locked="0"/>
    </xf>
    <xf numFmtId="0" fontId="11" fillId="2" borderId="50" xfId="1" applyFont="1" applyFill="1" applyBorder="1" applyAlignment="1">
      <alignment horizontal="right"/>
    </xf>
    <xf numFmtId="171" fontId="12" fillId="6" borderId="32" xfId="1" applyNumberFormat="1" applyFont="1" applyFill="1" applyBorder="1" applyAlignment="1">
      <alignment horizontal="center" vertical="center"/>
    </xf>
    <xf numFmtId="171" fontId="12" fillId="6" borderId="57" xfId="1" applyNumberFormat="1" applyFont="1" applyFill="1" applyBorder="1" applyAlignment="1">
      <alignment horizontal="center" vertical="center"/>
    </xf>
    <xf numFmtId="171" fontId="12" fillId="6" borderId="48" xfId="1" applyNumberFormat="1" applyFont="1" applyFill="1" applyBorder="1" applyAlignment="1">
      <alignment horizontal="center" vertical="center"/>
    </xf>
    <xf numFmtId="171" fontId="12" fillId="6" borderId="56" xfId="1" applyNumberFormat="1" applyFont="1" applyFill="1" applyBorder="1" applyAlignment="1">
      <alignment horizontal="center" vertical="center"/>
    </xf>
    <xf numFmtId="171" fontId="11" fillId="2" borderId="47" xfId="1" applyNumberFormat="1" applyFont="1" applyFill="1" applyBorder="1" applyAlignment="1">
      <alignment horizontal="center" vertical="center"/>
    </xf>
    <xf numFmtId="1" fontId="13" fillId="3" borderId="45" xfId="1" applyNumberFormat="1" applyFont="1" applyFill="1" applyBorder="1" applyAlignment="1" applyProtection="1">
      <alignment horizontal="center" vertical="center"/>
      <protection locked="0"/>
    </xf>
    <xf numFmtId="171" fontId="11" fillId="2" borderId="46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171" fontId="11" fillId="2" borderId="44" xfId="1" applyNumberFormat="1" applyFont="1" applyFill="1" applyBorder="1" applyAlignment="1">
      <alignment horizontal="center" vertical="center"/>
    </xf>
    <xf numFmtId="171" fontId="11" fillId="2" borderId="43" xfId="1" applyNumberFormat="1" applyFont="1" applyFill="1" applyBorder="1" applyAlignment="1">
      <alignment horizontal="center" vertical="center"/>
    </xf>
    <xf numFmtId="171" fontId="11" fillId="2" borderId="42" xfId="1" applyNumberFormat="1" applyFont="1" applyFill="1" applyBorder="1" applyAlignment="1">
      <alignment horizontal="center" vertical="center"/>
    </xf>
    <xf numFmtId="171" fontId="11" fillId="2" borderId="38" xfId="1" applyNumberFormat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2" fillId="2" borderId="42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6" fillId="2" borderId="0" xfId="1" applyFont="1" applyFill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13" fillId="3" borderId="0" xfId="1" applyFont="1" applyFill="1" applyAlignment="1" applyProtection="1">
      <alignment horizontal="center" vertical="center"/>
      <protection locked="0"/>
    </xf>
    <xf numFmtId="0" fontId="13" fillId="7" borderId="19" xfId="1" applyFont="1" applyFill="1" applyBorder="1" applyAlignment="1">
      <alignment horizontal="center" vertical="center"/>
    </xf>
    <xf numFmtId="10" fontId="13" fillId="6" borderId="16" xfId="1" applyNumberFormat="1" applyFont="1" applyFill="1" applyBorder="1" applyAlignment="1">
      <alignment horizontal="center" vertical="center"/>
    </xf>
    <xf numFmtId="10" fontId="13" fillId="7" borderId="15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 vertical="center"/>
    </xf>
    <xf numFmtId="10" fontId="11" fillId="2" borderId="32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 vertical="center"/>
    </xf>
    <xf numFmtId="0" fontId="13" fillId="3" borderId="52" xfId="1" applyFont="1" applyFill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>
      <alignment horizontal="center" vertical="center"/>
    </xf>
    <xf numFmtId="10" fontId="11" fillId="2" borderId="53" xfId="1" applyNumberFormat="1" applyFont="1" applyFill="1" applyBorder="1" applyAlignment="1">
      <alignment horizontal="center" vertical="center"/>
    </xf>
    <xf numFmtId="2" fontId="11" fillId="2" borderId="53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 vertical="center"/>
    </xf>
    <xf numFmtId="2" fontId="11" fillId="2" borderId="31" xfId="1" applyNumberFormat="1" applyFont="1" applyFill="1" applyBorder="1" applyAlignment="1">
      <alignment horizontal="center" vertical="center"/>
    </xf>
    <xf numFmtId="0" fontId="13" fillId="3" borderId="33" xfId="1" applyFont="1" applyFill="1" applyBorder="1" applyAlignment="1" applyProtection="1">
      <alignment horizontal="center" vertical="center"/>
      <protection locked="0"/>
    </xf>
    <xf numFmtId="0" fontId="11" fillId="2" borderId="31" xfId="1" applyFont="1" applyFill="1" applyBorder="1" applyAlignment="1">
      <alignment horizontal="center" vertical="center"/>
    </xf>
    <xf numFmtId="10" fontId="11" fillId="2" borderId="54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10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171" fontId="12" fillId="6" borderId="49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vertical="center" wrapText="1"/>
    </xf>
    <xf numFmtId="171" fontId="11" fillId="2" borderId="15" xfId="1" applyNumberFormat="1" applyFont="1" applyFill="1" applyBorder="1" applyAlignment="1">
      <alignment horizontal="center" vertical="center"/>
    </xf>
    <xf numFmtId="0" fontId="13" fillId="3" borderId="65" xfId="1" applyFont="1" applyFill="1" applyBorder="1" applyAlignment="1" applyProtection="1">
      <alignment horizontal="center" vertical="center"/>
      <protection locked="0"/>
    </xf>
    <xf numFmtId="171" fontId="11" fillId="2" borderId="7" xfId="1" applyNumberFormat="1" applyFont="1" applyFill="1" applyBorder="1" applyAlignment="1">
      <alignment horizontal="center" vertical="center"/>
    </xf>
    <xf numFmtId="171" fontId="11" fillId="2" borderId="36" xfId="1" applyNumberFormat="1" applyFont="1" applyFill="1" applyBorder="1" applyAlignment="1">
      <alignment horizontal="center" vertical="center"/>
    </xf>
    <xf numFmtId="0" fontId="13" fillId="3" borderId="56" xfId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/>
    <xf numFmtId="171" fontId="11" fillId="2" borderId="40" xfId="1" applyNumberFormat="1" applyFont="1" applyFill="1" applyBorder="1" applyAlignment="1">
      <alignment horizontal="center" vertical="center"/>
    </xf>
    <xf numFmtId="0" fontId="13" fillId="3" borderId="58" xfId="1" applyFont="1" applyFill="1" applyBorder="1" applyAlignment="1" applyProtection="1">
      <alignment horizontal="center" vertical="center"/>
      <protection locked="0"/>
    </xf>
    <xf numFmtId="171" fontId="11" fillId="2" borderId="55" xfId="1" applyNumberFormat="1" applyFont="1" applyFill="1" applyBorder="1" applyAlignment="1">
      <alignment horizontal="center" vertical="center"/>
    </xf>
    <xf numFmtId="0" fontId="12" fillId="2" borderId="58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center" vertical="center"/>
      <protection locked="0"/>
    </xf>
    <xf numFmtId="170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vertical="center"/>
    </xf>
    <xf numFmtId="170" fontId="14" fillId="3" borderId="0" xfId="1" applyNumberFormat="1" applyFont="1" applyFill="1" applyAlignment="1" applyProtection="1">
      <alignment horizontal="left" vertical="center"/>
      <protection locked="0"/>
    </xf>
    <xf numFmtId="0" fontId="11" fillId="3" borderId="0" xfId="1" applyFont="1" applyFill="1" applyAlignment="1" applyProtection="1">
      <alignment vertical="center"/>
      <protection locked="0"/>
    </xf>
    <xf numFmtId="0" fontId="14" fillId="3" borderId="0" xfId="1" applyFont="1" applyFill="1" applyAlignment="1" applyProtection="1">
      <alignment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171" fontId="13" fillId="3" borderId="43" xfId="1" applyNumberFormat="1" applyFont="1" applyFill="1" applyBorder="1" applyAlignment="1" applyProtection="1">
      <alignment horizontal="center" vertical="center"/>
      <protection locked="0"/>
    </xf>
    <xf numFmtId="171" fontId="13" fillId="3" borderId="46" xfId="1" applyNumberFormat="1" applyFont="1" applyFill="1" applyBorder="1" applyAlignment="1" applyProtection="1">
      <alignment horizontal="center" vertical="center"/>
      <protection locked="0"/>
    </xf>
    <xf numFmtId="176" fontId="11" fillId="6" borderId="39" xfId="1" applyNumberFormat="1" applyFont="1" applyFill="1" applyBorder="1" applyAlignment="1">
      <alignment horizontal="center"/>
    </xf>
    <xf numFmtId="166" fontId="11" fillId="7" borderId="39" xfId="1" applyNumberFormat="1" applyFont="1" applyFill="1" applyBorder="1" applyAlignment="1">
      <alignment horizontal="center"/>
    </xf>
    <xf numFmtId="171" fontId="13" fillId="3" borderId="41" xfId="1" applyNumberFormat="1" applyFont="1" applyFill="1" applyBorder="1" applyAlignment="1" applyProtection="1">
      <alignment horizontal="center" vertical="center"/>
      <protection locked="0"/>
    </xf>
    <xf numFmtId="171" fontId="13" fillId="3" borderId="35" xfId="1" applyNumberFormat="1" applyFont="1" applyFill="1" applyBorder="1" applyAlignment="1" applyProtection="1">
      <alignment horizontal="center" vertical="center"/>
      <protection locked="0"/>
    </xf>
    <xf numFmtId="171" fontId="12" fillId="6" borderId="54" xfId="1" applyNumberFormat="1" applyFont="1" applyFill="1" applyBorder="1" applyAlignment="1">
      <alignment horizontal="center"/>
    </xf>
    <xf numFmtId="177" fontId="14" fillId="3" borderId="0" xfId="1" applyNumberFormat="1" applyFont="1" applyFill="1" applyAlignment="1" applyProtection="1">
      <alignment horizontal="left" vertical="center"/>
      <protection locked="0"/>
    </xf>
    <xf numFmtId="2" fontId="7" fillId="3" borderId="43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12" fillId="0" borderId="0" xfId="1" applyFont="1" applyFill="1" applyBorder="1" applyAlignment="1" applyProtection="1">
      <alignment horizontal="left" vertical="center"/>
      <protection locked="0"/>
    </xf>
    <xf numFmtId="2" fontId="7" fillId="0" borderId="0" xfId="1" applyNumberFormat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vertical="center"/>
      <protection locked="0"/>
    </xf>
    <xf numFmtId="0" fontId="13" fillId="3" borderId="0" xfId="1" applyFont="1" applyFill="1" applyBorder="1" applyAlignment="1" applyProtection="1">
      <alignment horizontal="center" vertical="center"/>
      <protection locked="0"/>
    </xf>
    <xf numFmtId="2" fontId="7" fillId="0" borderId="3" xfId="1" applyNumberFormat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>
      <alignment horizontal="center" vertical="center"/>
    </xf>
    <xf numFmtId="2" fontId="7" fillId="0" borderId="6" xfId="1" applyNumberFormat="1" applyFont="1" applyFill="1" applyBorder="1" applyAlignment="1" applyProtection="1">
      <alignment horizontal="center"/>
      <protection locked="0"/>
    </xf>
    <xf numFmtId="0" fontId="11" fillId="0" borderId="0" xfId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2" borderId="66" xfId="1" applyFont="1" applyFill="1" applyBorder="1" applyAlignment="1">
      <alignment horizontal="right" vertical="center"/>
    </xf>
    <xf numFmtId="166" fontId="11" fillId="7" borderId="42" xfId="1" applyNumberFormat="1" applyFont="1" applyFill="1" applyBorder="1" applyAlignment="1">
      <alignment horizontal="center" vertical="center"/>
    </xf>
    <xf numFmtId="0" fontId="11" fillId="2" borderId="67" xfId="1" applyFont="1" applyFill="1" applyBorder="1" applyAlignment="1">
      <alignment horizontal="right" vertical="center"/>
    </xf>
    <xf numFmtId="2" fontId="11" fillId="6" borderId="68" xfId="1" applyNumberFormat="1" applyFont="1" applyFill="1" applyBorder="1" applyAlignment="1">
      <alignment horizontal="center" vertical="center"/>
    </xf>
    <xf numFmtId="0" fontId="11" fillId="2" borderId="69" xfId="1" applyFont="1" applyFill="1" applyBorder="1" applyAlignment="1">
      <alignment horizontal="right" vertical="center"/>
    </xf>
    <xf numFmtId="2" fontId="11" fillId="7" borderId="70" xfId="1" applyNumberFormat="1" applyFont="1" applyFill="1" applyBorder="1" applyAlignment="1">
      <alignment horizontal="center" vertical="center"/>
    </xf>
    <xf numFmtId="0" fontId="11" fillId="2" borderId="71" xfId="1" applyFont="1" applyFill="1" applyBorder="1" applyAlignment="1">
      <alignment horizontal="right" vertical="center"/>
    </xf>
    <xf numFmtId="171" fontId="12" fillId="7" borderId="72" xfId="1" applyNumberFormat="1" applyFont="1" applyFill="1" applyBorder="1" applyAlignment="1">
      <alignment horizontal="center" vertical="center"/>
    </xf>
    <xf numFmtId="0" fontId="11" fillId="2" borderId="73" xfId="1" applyFont="1" applyFill="1" applyBorder="1" applyAlignment="1">
      <alignment horizontal="right" vertical="center"/>
    </xf>
    <xf numFmtId="10" fontId="12" fillId="6" borderId="74" xfId="1" applyNumberFormat="1" applyFont="1" applyFill="1" applyBorder="1" applyAlignment="1">
      <alignment horizontal="center" vertical="center"/>
    </xf>
    <xf numFmtId="0" fontId="11" fillId="2" borderId="75" xfId="1" applyFont="1" applyFill="1" applyBorder="1" applyAlignment="1">
      <alignment horizontal="right" vertical="center"/>
    </xf>
    <xf numFmtId="0" fontId="12" fillId="7" borderId="76" xfId="1" applyFont="1" applyFill="1" applyBorder="1" applyAlignment="1">
      <alignment horizontal="center" vertical="center"/>
    </xf>
    <xf numFmtId="164" fontId="12" fillId="6" borderId="57" xfId="1" applyNumberFormat="1" applyFont="1" applyFill="1" applyBorder="1" applyAlignment="1">
      <alignment horizontal="center"/>
    </xf>
    <xf numFmtId="2" fontId="7" fillId="0" borderId="43" xfId="1" applyNumberFormat="1" applyFont="1" applyFill="1" applyBorder="1" applyAlignment="1" applyProtection="1">
      <alignment horizontal="center"/>
      <protection locked="0"/>
    </xf>
    <xf numFmtId="0" fontId="12" fillId="2" borderId="6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2" fontId="11" fillId="2" borderId="0" xfId="1" applyNumberFormat="1" applyFont="1" applyFill="1" applyBorder="1" applyAlignment="1">
      <alignment horizontal="center" vertical="center"/>
    </xf>
    <xf numFmtId="1" fontId="11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71" fontId="11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2" fontId="12" fillId="2" borderId="90" xfId="1" applyNumberFormat="1" applyFont="1" applyFill="1" applyBorder="1" applyAlignment="1">
      <alignment horizontal="center" vertical="center"/>
    </xf>
    <xf numFmtId="0" fontId="12" fillId="2" borderId="91" xfId="1" applyFont="1" applyFill="1" applyBorder="1" applyAlignment="1">
      <alignment horizontal="center" vertical="center"/>
    </xf>
    <xf numFmtId="0" fontId="12" fillId="2" borderId="83" xfId="1" applyFont="1" applyFill="1" applyBorder="1" applyAlignment="1">
      <alignment horizontal="center" vertical="center"/>
    </xf>
    <xf numFmtId="0" fontId="13" fillId="3" borderId="92" xfId="1" applyFont="1" applyFill="1" applyBorder="1" applyAlignment="1" applyProtection="1">
      <alignment horizontal="center" vertical="center"/>
      <protection locked="0"/>
    </xf>
    <xf numFmtId="2" fontId="11" fillId="6" borderId="93" xfId="1" applyNumberFormat="1" applyFont="1" applyFill="1" applyBorder="1" applyAlignment="1">
      <alignment horizontal="center" vertical="center"/>
    </xf>
    <xf numFmtId="2" fontId="11" fillId="7" borderId="93" xfId="1" applyNumberFormat="1" applyFont="1" applyFill="1" applyBorder="1" applyAlignment="1">
      <alignment horizontal="center" vertical="center"/>
    </xf>
    <xf numFmtId="166" fontId="13" fillId="3" borderId="93" xfId="1" applyNumberFormat="1" applyFont="1" applyFill="1" applyBorder="1" applyAlignment="1" applyProtection="1">
      <alignment horizontal="center" vertical="center"/>
      <protection locked="0"/>
    </xf>
    <xf numFmtId="2" fontId="11" fillId="6" borderId="94" xfId="1" applyNumberFormat="1" applyFont="1" applyFill="1" applyBorder="1" applyAlignment="1">
      <alignment horizontal="center" vertical="center"/>
    </xf>
    <xf numFmtId="171" fontId="12" fillId="7" borderId="95" xfId="1" applyNumberFormat="1" applyFont="1" applyFill="1" applyBorder="1" applyAlignment="1">
      <alignment horizontal="center" vertical="center"/>
    </xf>
    <xf numFmtId="10" fontId="11" fillId="6" borderId="93" xfId="1" applyNumberFormat="1" applyFont="1" applyFill="1" applyBorder="1" applyAlignment="1">
      <alignment horizontal="center" vertical="center"/>
    </xf>
    <xf numFmtId="0" fontId="11" fillId="7" borderId="96" xfId="1" applyFont="1" applyFill="1" applyBorder="1" applyAlignment="1">
      <alignment horizontal="center" vertical="center"/>
    </xf>
    <xf numFmtId="1" fontId="12" fillId="6" borderId="56" xfId="1" applyNumberFormat="1" applyFont="1" applyFill="1" applyBorder="1" applyAlignment="1">
      <alignment horizontal="center" vertical="center"/>
    </xf>
    <xf numFmtId="2" fontId="11" fillId="6" borderId="96" xfId="1" applyNumberFormat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right"/>
    </xf>
    <xf numFmtId="0" fontId="11" fillId="2" borderId="92" xfId="1" applyFont="1" applyFill="1" applyBorder="1" applyAlignment="1">
      <alignment horizontal="right" vertical="center"/>
    </xf>
    <xf numFmtId="0" fontId="11" fillId="2" borderId="93" xfId="1" applyFont="1" applyFill="1" applyBorder="1" applyAlignment="1">
      <alignment horizontal="right" vertical="center"/>
    </xf>
    <xf numFmtId="0" fontId="11" fillId="2" borderId="94" xfId="1" applyFont="1" applyFill="1" applyBorder="1" applyAlignment="1">
      <alignment horizontal="right" vertical="center"/>
    </xf>
    <xf numFmtId="0" fontId="11" fillId="2" borderId="95" xfId="1" applyFont="1" applyFill="1" applyBorder="1" applyAlignment="1">
      <alignment horizontal="right" vertical="center"/>
    </xf>
    <xf numFmtId="0" fontId="11" fillId="2" borderId="96" xfId="1" applyFont="1" applyFill="1" applyBorder="1" applyAlignment="1">
      <alignment horizontal="right" vertical="center"/>
    </xf>
    <xf numFmtId="0" fontId="11" fillId="2" borderId="0" xfId="1" applyFont="1" applyFill="1" applyBorder="1" applyAlignment="1">
      <alignment horizontal="left" vertical="center"/>
    </xf>
    <xf numFmtId="166" fontId="12" fillId="2" borderId="0" xfId="1" applyNumberFormat="1" applyFont="1" applyFill="1" applyBorder="1" applyAlignment="1" applyProtection="1">
      <alignment horizontal="center" vertical="center"/>
      <protection locked="0"/>
    </xf>
    <xf numFmtId="0" fontId="11" fillId="2" borderId="77" xfId="1" applyFont="1" applyFill="1" applyBorder="1" applyAlignment="1">
      <alignment horizontal="right" vertical="center"/>
    </xf>
    <xf numFmtId="0" fontId="13" fillId="3" borderId="78" xfId="1" applyFont="1" applyFill="1" applyBorder="1" applyAlignment="1" applyProtection="1">
      <alignment horizontal="center" vertical="center"/>
      <protection locked="0"/>
    </xf>
    <xf numFmtId="0" fontId="11" fillId="2" borderId="98" xfId="1" applyFont="1" applyFill="1" applyBorder="1" applyAlignment="1">
      <alignment horizontal="right" vertical="center"/>
    </xf>
    <xf numFmtId="0" fontId="13" fillId="3" borderId="99" xfId="1" applyFont="1" applyFill="1" applyBorder="1" applyAlignment="1" applyProtection="1">
      <alignment horizontal="center" vertical="center"/>
      <protection locked="0"/>
    </xf>
    <xf numFmtId="0" fontId="11" fillId="2" borderId="99" xfId="1" applyFont="1" applyFill="1" applyBorder="1" applyAlignment="1">
      <alignment horizontal="center" vertical="center"/>
    </xf>
    <xf numFmtId="0" fontId="11" fillId="2" borderId="79" xfId="1" applyFont="1" applyFill="1" applyBorder="1" applyAlignment="1">
      <alignment horizontal="right" vertical="center"/>
    </xf>
    <xf numFmtId="2" fontId="12" fillId="2" borderId="80" xfId="1" applyNumberFormat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9" fillId="2" borderId="77" xfId="1" applyFont="1" applyFill="1" applyBorder="1" applyAlignment="1">
      <alignment horizontal="left" vertical="center" wrapText="1"/>
    </xf>
    <xf numFmtId="0" fontId="19" fillId="2" borderId="78" xfId="1" applyFont="1" applyFill="1" applyBorder="1" applyAlignment="1">
      <alignment horizontal="left" vertical="center" wrapText="1"/>
    </xf>
    <xf numFmtId="0" fontId="19" fillId="2" borderId="79" xfId="1" applyFont="1" applyFill="1" applyBorder="1" applyAlignment="1">
      <alignment horizontal="left" vertical="center" wrapText="1"/>
    </xf>
    <xf numFmtId="0" fontId="19" fillId="2" borderId="80" xfId="1" applyFont="1" applyFill="1" applyBorder="1" applyAlignment="1">
      <alignment horizontal="left" vertical="center" wrapText="1"/>
    </xf>
    <xf numFmtId="0" fontId="19" fillId="2" borderId="81" xfId="1" applyFont="1" applyFill="1" applyBorder="1" applyAlignment="1">
      <alignment horizontal="center" vertical="center"/>
    </xf>
    <xf numFmtId="0" fontId="19" fillId="2" borderId="82" xfId="1" applyFont="1" applyFill="1" applyBorder="1" applyAlignment="1">
      <alignment horizontal="center" vertical="center"/>
    </xf>
    <xf numFmtId="0" fontId="19" fillId="2" borderId="8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20" fillId="2" borderId="0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20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9" fillId="2" borderId="35" xfId="1" applyFont="1" applyFill="1" applyBorder="1" applyAlignment="1">
      <alignment horizontal="left" vertical="center" wrapText="1"/>
    </xf>
    <xf numFmtId="0" fontId="19" fillId="2" borderId="36" xfId="1" applyFont="1" applyFill="1" applyBorder="1" applyAlignment="1">
      <alignment horizontal="left" vertical="center" wrapText="1"/>
    </xf>
    <xf numFmtId="0" fontId="27" fillId="2" borderId="35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9" fillId="2" borderId="81" xfId="1" applyFont="1" applyFill="1" applyBorder="1" applyAlignment="1">
      <alignment horizontal="justify" vertical="center" wrapText="1"/>
    </xf>
    <xf numFmtId="0" fontId="19" fillId="2" borderId="82" xfId="1" applyFont="1" applyFill="1" applyBorder="1" applyAlignment="1">
      <alignment horizontal="justify" vertical="center" wrapText="1"/>
    </xf>
    <xf numFmtId="0" fontId="19" fillId="2" borderId="83" xfId="1" applyFont="1" applyFill="1" applyBorder="1" applyAlignment="1">
      <alignment horizontal="justify" vertical="center" wrapText="1"/>
    </xf>
    <xf numFmtId="0" fontId="19" fillId="2" borderId="84" xfId="1" applyFont="1" applyFill="1" applyBorder="1" applyAlignment="1">
      <alignment horizontal="left" vertical="center" wrapText="1"/>
    </xf>
    <xf numFmtId="0" fontId="19" fillId="2" borderId="85" xfId="1" applyFont="1" applyFill="1" applyBorder="1" applyAlignment="1">
      <alignment horizontal="left" vertical="center" wrapText="1"/>
    </xf>
    <xf numFmtId="0" fontId="19" fillId="2" borderId="86" xfId="1" applyFont="1" applyFill="1" applyBorder="1" applyAlignment="1">
      <alignment horizontal="left" vertical="center" wrapText="1"/>
    </xf>
    <xf numFmtId="0" fontId="19" fillId="2" borderId="87" xfId="1" applyFont="1" applyFill="1" applyBorder="1" applyAlignment="1">
      <alignment horizontal="left" vertical="center" wrapText="1"/>
    </xf>
    <xf numFmtId="0" fontId="19" fillId="2" borderId="88" xfId="1" applyFont="1" applyFill="1" applyBorder="1" applyAlignment="1">
      <alignment horizontal="left" vertical="center" wrapText="1"/>
    </xf>
    <xf numFmtId="0" fontId="19" fillId="2" borderId="89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9" fillId="2" borderId="97" xfId="1" applyFont="1" applyFill="1" applyBorder="1" applyAlignment="1">
      <alignment horizontal="left" vertical="center" wrapText="1"/>
    </xf>
    <xf numFmtId="0" fontId="27" fillId="2" borderId="35" xfId="1" applyFont="1" applyFill="1" applyBorder="1" applyAlignment="1">
      <alignment horizontal="center" vertical="center"/>
    </xf>
    <xf numFmtId="0" fontId="27" fillId="2" borderId="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5" fontId="12" fillId="2" borderId="11" xfId="1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3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49" zoomScale="50" zoomScaleNormal="75" zoomScaleSheetLayoutView="50" workbookViewId="0">
      <selection activeCell="D166" sqref="D166"/>
    </sheetView>
  </sheetViews>
  <sheetFormatPr defaultColWidth="9.140625" defaultRowHeight="16.5" x14ac:dyDescent="0.3"/>
  <cols>
    <col min="1" max="1" width="55.42578125" style="310" customWidth="1"/>
    <col min="2" max="2" width="33.7109375" style="310" customWidth="1"/>
    <col min="3" max="3" width="42.28515625" style="310" customWidth="1"/>
    <col min="4" max="4" width="30.5703125" style="310" customWidth="1"/>
    <col min="5" max="5" width="39.85546875" style="310" customWidth="1"/>
    <col min="6" max="6" width="30.7109375" style="310" customWidth="1"/>
    <col min="7" max="7" width="36.42578125" style="310" customWidth="1"/>
    <col min="8" max="8" width="41.140625" style="310" customWidth="1"/>
    <col min="9" max="9" width="30.42578125" style="309" customWidth="1"/>
    <col min="10" max="10" width="21.28515625" style="309" customWidth="1"/>
    <col min="11" max="11" width="9.140625" style="309" customWidth="1"/>
    <col min="12" max="16384" width="9.140625" style="308"/>
  </cols>
  <sheetData>
    <row r="1" spans="1:8" ht="15" x14ac:dyDescent="0.3">
      <c r="A1" s="589" t="s">
        <v>49</v>
      </c>
      <c r="B1" s="589"/>
      <c r="C1" s="589"/>
      <c r="D1" s="589"/>
      <c r="E1" s="589"/>
      <c r="F1" s="589"/>
      <c r="G1" s="589"/>
      <c r="H1" s="589"/>
    </row>
    <row r="2" spans="1:8" ht="15" x14ac:dyDescent="0.3">
      <c r="A2" s="589"/>
      <c r="B2" s="589"/>
      <c r="C2" s="589"/>
      <c r="D2" s="589"/>
      <c r="E2" s="589"/>
      <c r="F2" s="589"/>
      <c r="G2" s="589"/>
      <c r="H2" s="589"/>
    </row>
    <row r="3" spans="1:8" ht="15" x14ac:dyDescent="0.3">
      <c r="A3" s="589"/>
      <c r="B3" s="589"/>
      <c r="C3" s="589"/>
      <c r="D3" s="589"/>
      <c r="E3" s="589"/>
      <c r="F3" s="589"/>
      <c r="G3" s="589"/>
      <c r="H3" s="589"/>
    </row>
    <row r="4" spans="1:8" ht="15" x14ac:dyDescent="0.3">
      <c r="A4" s="589"/>
      <c r="B4" s="589"/>
      <c r="C4" s="589"/>
      <c r="D4" s="589"/>
      <c r="E4" s="589"/>
      <c r="F4" s="589"/>
      <c r="G4" s="589"/>
      <c r="H4" s="589"/>
    </row>
    <row r="5" spans="1:8" ht="15" x14ac:dyDescent="0.3">
      <c r="A5" s="589"/>
      <c r="B5" s="589"/>
      <c r="C5" s="589"/>
      <c r="D5" s="589"/>
      <c r="E5" s="589"/>
      <c r="F5" s="589"/>
      <c r="G5" s="589"/>
      <c r="H5" s="589"/>
    </row>
    <row r="6" spans="1:8" ht="15" x14ac:dyDescent="0.3">
      <c r="A6" s="589"/>
      <c r="B6" s="589"/>
      <c r="C6" s="589"/>
      <c r="D6" s="589"/>
      <c r="E6" s="589"/>
      <c r="F6" s="589"/>
      <c r="G6" s="589"/>
      <c r="H6" s="589"/>
    </row>
    <row r="7" spans="1:8" ht="15" x14ac:dyDescent="0.3">
      <c r="A7" s="589"/>
      <c r="B7" s="589"/>
      <c r="C7" s="589"/>
      <c r="D7" s="589"/>
      <c r="E7" s="589"/>
      <c r="F7" s="589"/>
      <c r="G7" s="589"/>
      <c r="H7" s="589"/>
    </row>
    <row r="8" spans="1:8" ht="15" x14ac:dyDescent="0.3">
      <c r="A8" s="590" t="s">
        <v>50</v>
      </c>
      <c r="B8" s="590"/>
      <c r="C8" s="590"/>
      <c r="D8" s="590"/>
      <c r="E8" s="590"/>
      <c r="F8" s="590"/>
      <c r="G8" s="590"/>
      <c r="H8" s="590"/>
    </row>
    <row r="9" spans="1:8" ht="15" x14ac:dyDescent="0.3">
      <c r="A9" s="590"/>
      <c r="B9" s="590"/>
      <c r="C9" s="590"/>
      <c r="D9" s="590"/>
      <c r="E9" s="590"/>
      <c r="F9" s="590"/>
      <c r="G9" s="590"/>
      <c r="H9" s="590"/>
    </row>
    <row r="10" spans="1:8" ht="15" x14ac:dyDescent="0.3">
      <c r="A10" s="590"/>
      <c r="B10" s="590"/>
      <c r="C10" s="590"/>
      <c r="D10" s="590"/>
      <c r="E10" s="590"/>
      <c r="F10" s="590"/>
      <c r="G10" s="590"/>
      <c r="H10" s="590"/>
    </row>
    <row r="11" spans="1:8" ht="15" x14ac:dyDescent="0.3">
      <c r="A11" s="590"/>
      <c r="B11" s="590"/>
      <c r="C11" s="590"/>
      <c r="D11" s="590"/>
      <c r="E11" s="590"/>
      <c r="F11" s="590"/>
      <c r="G11" s="590"/>
      <c r="H11" s="590"/>
    </row>
    <row r="12" spans="1:8" ht="15" x14ac:dyDescent="0.3">
      <c r="A12" s="590"/>
      <c r="B12" s="590"/>
      <c r="C12" s="590"/>
      <c r="D12" s="590"/>
      <c r="E12" s="590"/>
      <c r="F12" s="590"/>
      <c r="G12" s="590"/>
      <c r="H12" s="590"/>
    </row>
    <row r="13" spans="1:8" ht="15" x14ac:dyDescent="0.3">
      <c r="A13" s="590"/>
      <c r="B13" s="590"/>
      <c r="C13" s="590"/>
      <c r="D13" s="590"/>
      <c r="E13" s="590"/>
      <c r="F13" s="590"/>
      <c r="G13" s="590"/>
      <c r="H13" s="590"/>
    </row>
    <row r="14" spans="1:8" ht="15" x14ac:dyDescent="0.3">
      <c r="A14" s="590"/>
      <c r="B14" s="590"/>
      <c r="C14" s="590"/>
      <c r="D14" s="590"/>
      <c r="E14" s="590"/>
      <c r="F14" s="590"/>
      <c r="G14" s="590"/>
      <c r="H14" s="590"/>
    </row>
    <row r="15" spans="1:8" ht="19.5" customHeight="1" thickBot="1" x14ac:dyDescent="0.35">
      <c r="A15" s="531"/>
      <c r="B15" s="531"/>
      <c r="C15" s="531"/>
      <c r="D15" s="531"/>
      <c r="E15" s="531"/>
      <c r="F15" s="531"/>
      <c r="G15" s="531"/>
      <c r="H15" s="531"/>
    </row>
    <row r="16" spans="1:8" ht="19.5" customHeight="1" thickBot="1" x14ac:dyDescent="0.35">
      <c r="A16" s="599" t="s">
        <v>31</v>
      </c>
      <c r="B16" s="600"/>
      <c r="C16" s="600"/>
      <c r="D16" s="600"/>
      <c r="E16" s="600"/>
      <c r="F16" s="600"/>
      <c r="G16" s="600"/>
      <c r="H16" s="601"/>
    </row>
    <row r="17" spans="1:13" ht="20.25" customHeight="1" x14ac:dyDescent="0.3">
      <c r="A17" s="604" t="s">
        <v>51</v>
      </c>
      <c r="B17" s="604"/>
      <c r="C17" s="604"/>
      <c r="D17" s="604"/>
      <c r="E17" s="604"/>
      <c r="F17" s="604"/>
      <c r="G17" s="604"/>
      <c r="H17" s="604"/>
    </row>
    <row r="18" spans="1:13" ht="26.25" customHeight="1" x14ac:dyDescent="0.3">
      <c r="A18" s="515" t="s">
        <v>33</v>
      </c>
      <c r="B18" s="602" t="s">
        <v>152</v>
      </c>
      <c r="C18" s="602"/>
      <c r="D18" s="530"/>
      <c r="E18" s="530"/>
      <c r="F18" s="531"/>
      <c r="G18" s="531"/>
      <c r="H18" s="531"/>
    </row>
    <row r="19" spans="1:13" ht="26.25" customHeight="1" x14ac:dyDescent="0.3">
      <c r="A19" s="515" t="s">
        <v>34</v>
      </c>
      <c r="B19" s="519" t="s">
        <v>7</v>
      </c>
      <c r="C19" s="314">
        <v>11</v>
      </c>
      <c r="D19" s="531"/>
      <c r="E19" s="531"/>
      <c r="F19" s="531"/>
      <c r="G19" s="531"/>
      <c r="H19" s="531"/>
    </row>
    <row r="20" spans="1:13" ht="26.25" customHeight="1" x14ac:dyDescent="0.3">
      <c r="A20" s="515" t="s">
        <v>35</v>
      </c>
      <c r="B20" s="519" t="s">
        <v>153</v>
      </c>
      <c r="C20" s="528"/>
      <c r="D20" s="531"/>
      <c r="E20" s="531"/>
      <c r="F20" s="531"/>
      <c r="G20" s="531"/>
      <c r="H20" s="531"/>
    </row>
    <row r="21" spans="1:13" ht="26.25" customHeight="1" x14ac:dyDescent="0.3">
      <c r="A21" s="515" t="s">
        <v>36</v>
      </c>
      <c r="B21" s="518" t="s">
        <v>11</v>
      </c>
      <c r="C21" s="517"/>
      <c r="D21" s="532"/>
      <c r="E21" s="532"/>
      <c r="F21" s="532"/>
      <c r="G21" s="532"/>
      <c r="H21" s="532"/>
    </row>
    <row r="22" spans="1:13" ht="26.25" customHeight="1" x14ac:dyDescent="0.3">
      <c r="A22" s="515" t="s">
        <v>37</v>
      </c>
      <c r="B22" s="516" t="s">
        <v>12</v>
      </c>
      <c r="C22" s="531"/>
      <c r="D22" s="531"/>
      <c r="E22" s="531"/>
      <c r="F22" s="531"/>
      <c r="G22" s="531"/>
      <c r="H22" s="531"/>
    </row>
    <row r="23" spans="1:13" ht="26.25" customHeight="1" x14ac:dyDescent="0.3">
      <c r="A23" s="515" t="s">
        <v>38</v>
      </c>
      <c r="B23" s="527">
        <v>42923</v>
      </c>
      <c r="C23" s="531"/>
      <c r="D23" s="531"/>
      <c r="E23" s="531"/>
      <c r="F23" s="531"/>
      <c r="G23" s="531"/>
      <c r="H23" s="531"/>
    </row>
    <row r="24" spans="1:13" ht="18.75" x14ac:dyDescent="0.3">
      <c r="A24" s="515"/>
      <c r="B24" s="514"/>
      <c r="C24" s="531"/>
      <c r="D24" s="531"/>
      <c r="E24" s="531"/>
      <c r="F24" s="531"/>
      <c r="G24" s="531"/>
      <c r="H24" s="531"/>
    </row>
    <row r="25" spans="1:13" ht="18.75" x14ac:dyDescent="0.3">
      <c r="A25" s="334" t="s">
        <v>1</v>
      </c>
      <c r="B25" s="514"/>
      <c r="C25" s="531"/>
      <c r="D25" s="531"/>
      <c r="E25" s="531"/>
      <c r="F25" s="531"/>
      <c r="G25" s="531"/>
      <c r="H25" s="531"/>
    </row>
    <row r="26" spans="1:13" ht="26.25" customHeight="1" x14ac:dyDescent="0.3">
      <c r="A26" s="316" t="s">
        <v>4</v>
      </c>
      <c r="B26" s="602" t="s">
        <v>135</v>
      </c>
      <c r="C26" s="602"/>
      <c r="D26" s="531"/>
      <c r="E26" s="531"/>
      <c r="F26" s="531"/>
      <c r="G26" s="531"/>
      <c r="H26" s="531"/>
    </row>
    <row r="27" spans="1:13" ht="26.25" customHeight="1" x14ac:dyDescent="0.3">
      <c r="A27" s="324" t="s">
        <v>52</v>
      </c>
      <c r="B27" s="603" t="s">
        <v>136</v>
      </c>
      <c r="C27" s="603"/>
      <c r="D27" s="531"/>
      <c r="E27" s="531"/>
      <c r="F27" s="531"/>
      <c r="G27" s="531"/>
      <c r="H27" s="531"/>
    </row>
    <row r="28" spans="1:13" ht="27" customHeight="1" thickBot="1" x14ac:dyDescent="0.35">
      <c r="A28" s="324" t="s">
        <v>6</v>
      </c>
      <c r="B28" s="533">
        <v>98.45</v>
      </c>
      <c r="C28" s="529"/>
      <c r="D28" s="531"/>
      <c r="E28" s="531"/>
      <c r="F28" s="531"/>
      <c r="G28" s="531"/>
      <c r="H28" s="531"/>
    </row>
    <row r="29" spans="1:13" s="369" customFormat="1" ht="15.75" customHeight="1" thickBot="1" x14ac:dyDescent="0.3">
      <c r="A29" s="324" t="s">
        <v>53</v>
      </c>
      <c r="B29" s="513">
        <v>0</v>
      </c>
      <c r="C29" s="616" t="s">
        <v>144</v>
      </c>
      <c r="D29" s="617"/>
      <c r="E29" s="617"/>
      <c r="F29" s="617"/>
      <c r="G29" s="618"/>
      <c r="H29" s="405"/>
      <c r="I29" s="407"/>
      <c r="J29" s="407"/>
      <c r="K29" s="407"/>
    </row>
    <row r="30" spans="1:13" s="369" customFormat="1" ht="19.5" customHeight="1" thickBot="1" x14ac:dyDescent="0.3">
      <c r="A30" s="324" t="s">
        <v>55</v>
      </c>
      <c r="B30" s="479">
        <f>B28-B29</f>
        <v>98.45</v>
      </c>
      <c r="C30" s="478"/>
      <c r="D30" s="478"/>
      <c r="E30" s="478"/>
      <c r="F30" s="478"/>
      <c r="G30" s="477"/>
      <c r="H30" s="405"/>
      <c r="I30" s="407"/>
      <c r="J30" s="407"/>
      <c r="K30" s="407"/>
    </row>
    <row r="31" spans="1:13" s="369" customFormat="1" ht="27" customHeight="1" thickBot="1" x14ac:dyDescent="0.3">
      <c r="A31" s="324" t="s">
        <v>56</v>
      </c>
      <c r="B31" s="409">
        <v>888.88</v>
      </c>
      <c r="C31" s="619" t="s">
        <v>57</v>
      </c>
      <c r="D31" s="620"/>
      <c r="E31" s="620"/>
      <c r="F31" s="620"/>
      <c r="G31" s="620"/>
      <c r="H31" s="621"/>
      <c r="I31" s="407"/>
      <c r="J31" s="407"/>
      <c r="K31" s="407"/>
    </row>
    <row r="32" spans="1:13" s="369" customFormat="1" ht="27" customHeight="1" thickBot="1" x14ac:dyDescent="0.3">
      <c r="A32" s="324" t="s">
        <v>58</v>
      </c>
      <c r="B32" s="409">
        <v>1025.8699999999999</v>
      </c>
      <c r="C32" s="622" t="s">
        <v>59</v>
      </c>
      <c r="D32" s="623"/>
      <c r="E32" s="623"/>
      <c r="F32" s="623"/>
      <c r="G32" s="623"/>
      <c r="H32" s="624"/>
      <c r="I32" s="407"/>
      <c r="J32" s="407"/>
      <c r="K32" s="502"/>
      <c r="L32" s="502"/>
      <c r="M32" s="508"/>
    </row>
    <row r="33" spans="1:13" s="369" customFormat="1" ht="17.25" customHeight="1" x14ac:dyDescent="0.25">
      <c r="A33" s="324"/>
      <c r="B33" s="408"/>
      <c r="C33" s="333"/>
      <c r="D33" s="333"/>
      <c r="E33" s="333"/>
      <c r="F33" s="333"/>
      <c r="G33" s="333"/>
      <c r="H33" s="333"/>
      <c r="I33" s="407"/>
      <c r="J33" s="407"/>
      <c r="K33" s="502"/>
      <c r="L33" s="502"/>
      <c r="M33" s="508"/>
    </row>
    <row r="34" spans="1:13" s="369" customFormat="1" ht="18.75" x14ac:dyDescent="0.25">
      <c r="A34" s="324" t="s">
        <v>60</v>
      </c>
      <c r="B34" s="406">
        <f>B31/B32</f>
        <v>0.86646456178658127</v>
      </c>
      <c r="C34" s="314" t="s">
        <v>61</v>
      </c>
      <c r="D34" s="314"/>
      <c r="E34" s="314"/>
      <c r="F34" s="314"/>
      <c r="G34" s="314"/>
      <c r="H34" s="405"/>
      <c r="I34" s="407"/>
      <c r="J34" s="407"/>
      <c r="K34" s="502"/>
      <c r="L34" s="502"/>
      <c r="M34" s="508"/>
    </row>
    <row r="35" spans="1:13" s="369" customFormat="1" ht="19.5" customHeight="1" thickBot="1" x14ac:dyDescent="0.3">
      <c r="A35" s="324"/>
      <c r="B35" s="479"/>
      <c r="C35" s="405"/>
      <c r="D35" s="405"/>
      <c r="E35" s="405"/>
      <c r="F35" s="405"/>
      <c r="G35" s="314"/>
      <c r="H35" s="405"/>
      <c r="I35" s="407"/>
      <c r="J35" s="407"/>
      <c r="K35" s="502"/>
      <c r="L35" s="502"/>
      <c r="M35" s="508"/>
    </row>
    <row r="36" spans="1:13" s="369" customFormat="1" ht="27" customHeight="1" thickBot="1" x14ac:dyDescent="0.3">
      <c r="A36" s="440" t="s">
        <v>142</v>
      </c>
      <c r="B36" s="439">
        <v>20</v>
      </c>
      <c r="C36" s="314"/>
      <c r="D36" s="608" t="s">
        <v>63</v>
      </c>
      <c r="E36" s="609"/>
      <c r="F36" s="608" t="s">
        <v>64</v>
      </c>
      <c r="G36" s="614"/>
      <c r="H36" s="405"/>
      <c r="I36" s="407"/>
      <c r="J36" s="407"/>
      <c r="K36" s="502"/>
      <c r="L36" s="502"/>
      <c r="M36" s="508"/>
    </row>
    <row r="37" spans="1:13" s="369" customFormat="1" ht="26.25" customHeight="1" x14ac:dyDescent="0.25">
      <c r="A37" s="423" t="s">
        <v>65</v>
      </c>
      <c r="B37" s="390">
        <v>1</v>
      </c>
      <c r="C37" s="320" t="s">
        <v>66</v>
      </c>
      <c r="D37" s="512" t="s">
        <v>67</v>
      </c>
      <c r="E37" s="475" t="s">
        <v>68</v>
      </c>
      <c r="F37" s="512" t="s">
        <v>67</v>
      </c>
      <c r="G37" s="473" t="s">
        <v>68</v>
      </c>
      <c r="H37" s="405"/>
      <c r="I37" s="407"/>
      <c r="J37" s="407"/>
      <c r="K37" s="502"/>
      <c r="L37" s="502"/>
      <c r="M37" s="508"/>
    </row>
    <row r="38" spans="1:13" s="369" customFormat="1" ht="26.25" customHeight="1" x14ac:dyDescent="0.25">
      <c r="A38" s="423" t="s">
        <v>70</v>
      </c>
      <c r="B38" s="390">
        <v>1</v>
      </c>
      <c r="C38" s="472">
        <v>1</v>
      </c>
      <c r="D38" s="510">
        <v>185246315</v>
      </c>
      <c r="E38" s="511">
        <f>IF(ISBLANK(D38),"-",$D$48/$D$45*D38)</f>
        <v>178881062.3739033</v>
      </c>
      <c r="F38" s="510">
        <v>177863658</v>
      </c>
      <c r="G38" s="509">
        <f>IF(ISBLANK(F38),"-",$D$48/$F$45*F38)</f>
        <v>177377308.67423528</v>
      </c>
      <c r="H38" s="405"/>
      <c r="I38" s="407"/>
      <c r="J38" s="407"/>
      <c r="K38" s="502"/>
      <c r="L38" s="502"/>
      <c r="M38" s="508"/>
    </row>
    <row r="39" spans="1:13" s="369" customFormat="1" ht="26.25" customHeight="1" x14ac:dyDescent="0.25">
      <c r="A39" s="423" t="s">
        <v>71</v>
      </c>
      <c r="B39" s="390">
        <v>1</v>
      </c>
      <c r="C39" s="311">
        <v>2</v>
      </c>
      <c r="D39" s="507">
        <v>181188225</v>
      </c>
      <c r="E39" s="444">
        <f>IF(ISBLANK(D39),"-",$D$48/$D$45*D39)</f>
        <v>174962412.49193987</v>
      </c>
      <c r="F39" s="507">
        <v>178402696</v>
      </c>
      <c r="G39" s="506">
        <f>IF(ISBLANK(F39),"-",$D$48/$F$45*F39)</f>
        <v>177914872.73194259</v>
      </c>
      <c r="H39" s="405"/>
      <c r="I39" s="407"/>
      <c r="J39" s="407"/>
      <c r="K39" s="502"/>
      <c r="L39" s="502"/>
      <c r="M39" s="508"/>
    </row>
    <row r="40" spans="1:13" ht="26.25" customHeight="1" x14ac:dyDescent="0.3">
      <c r="A40" s="423" t="s">
        <v>72</v>
      </c>
      <c r="B40" s="390">
        <v>1</v>
      </c>
      <c r="C40" s="311">
        <v>3</v>
      </c>
      <c r="D40" s="507">
        <v>181309312</v>
      </c>
      <c r="E40" s="444">
        <f>IF(ISBLANK(D40),"-",$D$48/$D$45*D40)</f>
        <v>175079338.81892061</v>
      </c>
      <c r="F40" s="507">
        <v>178155880</v>
      </c>
      <c r="G40" s="506">
        <f>IF(ISBLANK(F40),"-",$D$48/$F$45*F40)</f>
        <v>177668731.62414113</v>
      </c>
      <c r="H40" s="405"/>
      <c r="K40" s="502"/>
      <c r="L40" s="502"/>
      <c r="M40" s="325"/>
    </row>
    <row r="41" spans="1:13" ht="26.25" customHeight="1" x14ac:dyDescent="0.3">
      <c r="A41" s="423" t="s">
        <v>73</v>
      </c>
      <c r="B41" s="390">
        <v>1</v>
      </c>
      <c r="C41" s="467">
        <v>4</v>
      </c>
      <c r="D41" s="504"/>
      <c r="E41" s="505" t="str">
        <f>IF(ISBLANK(D41),"-",$D$48/$D$45*D41)</f>
        <v>-</v>
      </c>
      <c r="F41" s="504"/>
      <c r="G41" s="503" t="str">
        <f>IF(ISBLANK(F41),"-",$D$48/$F$45*F41)</f>
        <v>-</v>
      </c>
      <c r="H41" s="405"/>
      <c r="K41" s="502"/>
      <c r="L41" s="502"/>
      <c r="M41" s="325"/>
    </row>
    <row r="42" spans="1:13" ht="27" customHeight="1" thickBot="1" x14ac:dyDescent="0.35">
      <c r="A42" s="423" t="s">
        <v>74</v>
      </c>
      <c r="B42" s="390">
        <v>1</v>
      </c>
      <c r="C42" s="324" t="s">
        <v>75</v>
      </c>
      <c r="D42" s="463">
        <f>AVERAGE(D38:D41)</f>
        <v>182581284</v>
      </c>
      <c r="E42" s="462">
        <f>AVERAGE(E38:E41)</f>
        <v>176307604.56158793</v>
      </c>
      <c r="F42" s="572">
        <f>AVERAGE(F38:F41)</f>
        <v>178140744.66666666</v>
      </c>
      <c r="G42" s="501">
        <f>AVERAGE(G38:G41)</f>
        <v>177653637.67677298</v>
      </c>
      <c r="H42" s="442"/>
    </row>
    <row r="43" spans="1:13" ht="26.25" customHeight="1" x14ac:dyDescent="0.3">
      <c r="A43" s="423" t="s">
        <v>76</v>
      </c>
      <c r="B43" s="390">
        <v>1</v>
      </c>
      <c r="C43" s="459" t="s">
        <v>77</v>
      </c>
      <c r="D43" s="564">
        <v>24.28</v>
      </c>
      <c r="E43" s="314"/>
      <c r="F43" s="564">
        <v>23.51</v>
      </c>
      <c r="G43" s="535"/>
      <c r="H43" s="535"/>
    </row>
    <row r="44" spans="1:13" ht="26.25" customHeight="1" x14ac:dyDescent="0.3">
      <c r="A44" s="423" t="s">
        <v>78</v>
      </c>
      <c r="B44" s="390">
        <v>1</v>
      </c>
      <c r="C44" s="453" t="s">
        <v>79</v>
      </c>
      <c r="D44" s="565">
        <f>D43*$B$34</f>
        <v>21.037759560178195</v>
      </c>
      <c r="E44" s="311"/>
      <c r="F44" s="565">
        <f>F43*$B$34</f>
        <v>20.370581847602526</v>
      </c>
      <c r="G44" s="535"/>
      <c r="H44" s="535"/>
    </row>
    <row r="45" spans="1:13" ht="19.5" customHeight="1" thickBot="1" x14ac:dyDescent="0.35">
      <c r="A45" s="423" t="s">
        <v>80</v>
      </c>
      <c r="B45" s="422">
        <f>(B44/B43)*(B42/B41)*(B40/B39)*(B38/B37)*B36</f>
        <v>20</v>
      </c>
      <c r="C45" s="453" t="s">
        <v>81</v>
      </c>
      <c r="D45" s="566">
        <f>D44*$B$30/100</f>
        <v>20.711674286995436</v>
      </c>
      <c r="E45" s="312"/>
      <c r="F45" s="566">
        <f>F44*$B$30/100</f>
        <v>20.054837828964686</v>
      </c>
      <c r="G45" s="535"/>
      <c r="H45" s="535"/>
    </row>
    <row r="46" spans="1:13" ht="19.5" customHeight="1" thickBot="1" x14ac:dyDescent="0.35">
      <c r="A46" s="595" t="s">
        <v>82</v>
      </c>
      <c r="B46" s="596"/>
      <c r="C46" s="574" t="s">
        <v>83</v>
      </c>
      <c r="D46" s="565">
        <f>D45/$B$45</f>
        <v>1.0355837143497717</v>
      </c>
      <c r="E46" s="312"/>
      <c r="F46" s="573">
        <f>F45/$B$45</f>
        <v>1.0027418914482342</v>
      </c>
      <c r="G46" s="535"/>
      <c r="H46" s="535"/>
    </row>
    <row r="47" spans="1:13" ht="27" customHeight="1" thickBot="1" x14ac:dyDescent="0.35">
      <c r="A47" s="597"/>
      <c r="B47" s="638"/>
      <c r="C47" s="575" t="s">
        <v>141</v>
      </c>
      <c r="D47" s="567">
        <v>1</v>
      </c>
      <c r="E47" s="531"/>
      <c r="F47" s="557"/>
      <c r="G47" s="558"/>
      <c r="H47" s="558"/>
    </row>
    <row r="48" spans="1:13" ht="18.75" x14ac:dyDescent="0.3">
      <c r="A48" s="531"/>
      <c r="B48" s="531"/>
      <c r="C48" s="576" t="s">
        <v>85</v>
      </c>
      <c r="D48" s="566">
        <f>D47*$B$45</f>
        <v>20</v>
      </c>
      <c r="E48" s="531"/>
      <c r="F48" s="557"/>
      <c r="G48" s="558"/>
      <c r="H48" s="558"/>
    </row>
    <row r="49" spans="1:11" ht="19.5" customHeight="1" thickBot="1" x14ac:dyDescent="0.35">
      <c r="A49" s="531"/>
      <c r="B49" s="531"/>
      <c r="C49" s="577" t="s">
        <v>86</v>
      </c>
      <c r="D49" s="568">
        <f>D48/B34</f>
        <v>23.082305823058228</v>
      </c>
      <c r="E49" s="531"/>
      <c r="F49" s="559"/>
      <c r="G49" s="558"/>
      <c r="H49" s="558"/>
    </row>
    <row r="50" spans="1:11" ht="18.75" x14ac:dyDescent="0.3">
      <c r="A50" s="531"/>
      <c r="B50" s="531"/>
      <c r="C50" s="578" t="s">
        <v>87</v>
      </c>
      <c r="D50" s="569">
        <f>AVERAGE(E38:E41,G38:G41)</f>
        <v>176980621.11918047</v>
      </c>
      <c r="E50" s="531"/>
      <c r="F50" s="559"/>
      <c r="G50" s="558"/>
      <c r="H50" s="558"/>
    </row>
    <row r="51" spans="1:11" ht="18.75" x14ac:dyDescent="0.3">
      <c r="A51" s="531"/>
      <c r="B51" s="531"/>
      <c r="C51" s="576" t="s">
        <v>88</v>
      </c>
      <c r="D51" s="570">
        <f>STDEV(E38:E41,G38:G41)/D50</f>
        <v>9.0417386458002784E-3</v>
      </c>
      <c r="E51" s="531"/>
      <c r="F51" s="559"/>
      <c r="G51" s="531"/>
      <c r="H51" s="531"/>
    </row>
    <row r="52" spans="1:11" ht="19.5" customHeight="1" thickBot="1" x14ac:dyDescent="0.35">
      <c r="A52" s="531"/>
      <c r="B52" s="531"/>
      <c r="C52" s="579" t="s">
        <v>20</v>
      </c>
      <c r="D52" s="571">
        <f>COUNT(E38:E41,G38:G41)</f>
        <v>6</v>
      </c>
      <c r="E52" s="531"/>
      <c r="F52" s="559"/>
      <c r="G52" s="531"/>
      <c r="H52" s="531"/>
    </row>
    <row r="53" spans="1:11" x14ac:dyDescent="0.3">
      <c r="A53" s="531"/>
      <c r="B53" s="531"/>
      <c r="C53" s="536"/>
      <c r="D53" s="553"/>
      <c r="E53" s="531"/>
      <c r="F53" s="531"/>
      <c r="G53" s="531"/>
      <c r="H53" s="531"/>
    </row>
    <row r="54" spans="1:11" ht="18.75" x14ac:dyDescent="0.3">
      <c r="A54" s="441" t="s">
        <v>1</v>
      </c>
      <c r="B54" s="500" t="s">
        <v>89</v>
      </c>
      <c r="C54" s="534"/>
      <c r="D54" s="553"/>
      <c r="E54" s="531"/>
      <c r="F54" s="531"/>
      <c r="G54" s="531"/>
      <c r="H54" s="531"/>
    </row>
    <row r="55" spans="1:11" ht="18.75" x14ac:dyDescent="0.3">
      <c r="A55" s="314" t="s">
        <v>90</v>
      </c>
      <c r="B55" s="499" t="str">
        <f>B21</f>
        <v>Each hard gelatin  capsule contains:  Doxycycline Hyclate BP Equivalent to  Doxycycline 100 mg.</v>
      </c>
      <c r="C55" s="534"/>
      <c r="D55" s="553"/>
      <c r="E55" s="531"/>
      <c r="F55" s="531"/>
      <c r="G55" s="531"/>
      <c r="H55" s="531"/>
    </row>
    <row r="56" spans="1:11" ht="26.25" customHeight="1" x14ac:dyDescent="0.3">
      <c r="A56" s="499" t="s">
        <v>148</v>
      </c>
      <c r="B56" s="480">
        <v>100</v>
      </c>
      <c r="C56" s="537" t="str">
        <f>B20</f>
        <v>DOXYCYCLINE as Doxycycline Hyclate</v>
      </c>
      <c r="D56" s="531"/>
      <c r="E56" s="531"/>
      <c r="F56" s="531"/>
      <c r="G56" s="560"/>
      <c r="H56" s="560"/>
    </row>
    <row r="57" spans="1:11" ht="18.75" x14ac:dyDescent="0.3">
      <c r="A57" s="580" t="s">
        <v>147</v>
      </c>
      <c r="B57" s="581">
        <f>Uniformity!D43</f>
        <v>258.34000000000003</v>
      </c>
      <c r="C57" s="531"/>
      <c r="D57" s="531"/>
      <c r="E57" s="531"/>
      <c r="F57" s="531"/>
      <c r="G57" s="560"/>
      <c r="H57" s="560"/>
    </row>
    <row r="58" spans="1:11" ht="19.5" customHeight="1" thickBot="1" x14ac:dyDescent="0.35">
      <c r="A58" s="531"/>
      <c r="B58" s="531"/>
      <c r="C58" s="531"/>
      <c r="D58" s="531"/>
      <c r="E58" s="531"/>
      <c r="F58" s="531"/>
      <c r="G58" s="560"/>
      <c r="H58" s="560"/>
    </row>
    <row r="59" spans="1:11" s="369" customFormat="1" ht="27" customHeight="1" thickBot="1" x14ac:dyDescent="0.3">
      <c r="A59" s="582" t="s">
        <v>146</v>
      </c>
      <c r="B59" s="583">
        <v>100</v>
      </c>
      <c r="C59" s="314"/>
      <c r="D59" s="561" t="s">
        <v>94</v>
      </c>
      <c r="E59" s="562" t="s">
        <v>66</v>
      </c>
      <c r="F59" s="562" t="s">
        <v>67</v>
      </c>
      <c r="G59" s="562" t="s">
        <v>95</v>
      </c>
      <c r="H59" s="563" t="s">
        <v>96</v>
      </c>
      <c r="K59" s="407"/>
    </row>
    <row r="60" spans="1:11" s="369" customFormat="1" ht="26.25" customHeight="1" x14ac:dyDescent="0.25">
      <c r="A60" s="584" t="s">
        <v>126</v>
      </c>
      <c r="B60" s="585">
        <v>1</v>
      </c>
      <c r="C60" s="615" t="s">
        <v>98</v>
      </c>
      <c r="D60" s="606">
        <v>259.44</v>
      </c>
      <c r="E60" s="491">
        <v>1</v>
      </c>
      <c r="F60" s="398">
        <v>177407478</v>
      </c>
      <c r="G60" s="498">
        <f>IF(ISBLANK(F60),"-",(F60/$D$50*$D$47*$B$68)*($B$57/$D$60))</f>
        <v>99.816175738153859</v>
      </c>
      <c r="H60" s="489">
        <f t="shared" ref="H60:H71" si="0">IF(ISBLANK(F60),"-",G60/$B$56)</f>
        <v>0.99816175738153856</v>
      </c>
      <c r="K60" s="407"/>
    </row>
    <row r="61" spans="1:11" s="369" customFormat="1" ht="26.25" customHeight="1" x14ac:dyDescent="0.25">
      <c r="A61" s="584" t="s">
        <v>99</v>
      </c>
      <c r="B61" s="585">
        <v>1</v>
      </c>
      <c r="C61" s="625"/>
      <c r="D61" s="606"/>
      <c r="E61" s="491">
        <v>2</v>
      </c>
      <c r="F61" s="398">
        <v>176250766</v>
      </c>
      <c r="G61" s="498">
        <f>IF(ISBLANK(F61),"-",(F61/$D$50*$D$47*$B$68)*($B$57/$D$60))</f>
        <v>99.165365695803615</v>
      </c>
      <c r="H61" s="489">
        <f t="shared" si="0"/>
        <v>0.9916536569580362</v>
      </c>
      <c r="K61" s="407"/>
    </row>
    <row r="62" spans="1:11" s="369" customFormat="1" ht="26.25" customHeight="1" x14ac:dyDescent="0.25">
      <c r="A62" s="584" t="s">
        <v>100</v>
      </c>
      <c r="B62" s="585">
        <v>1</v>
      </c>
      <c r="C62" s="625"/>
      <c r="D62" s="606"/>
      <c r="E62" s="491">
        <v>3</v>
      </c>
      <c r="F62" s="398">
        <v>178032326</v>
      </c>
      <c r="G62" s="498">
        <f>IF(ISBLANK(F62),"-",(F62/$D$50*$D$47*$B$68)*($B$57/$D$60))</f>
        <v>100.16773892185255</v>
      </c>
      <c r="H62" s="489">
        <f t="shared" si="0"/>
        <v>1.0016773892185256</v>
      </c>
      <c r="K62" s="407"/>
    </row>
    <row r="63" spans="1:11" ht="27" customHeight="1" thickBot="1" x14ac:dyDescent="0.35">
      <c r="A63" s="584" t="s">
        <v>101</v>
      </c>
      <c r="B63" s="585">
        <v>1</v>
      </c>
      <c r="C63" s="626"/>
      <c r="D63" s="607"/>
      <c r="E63" s="488">
        <v>4</v>
      </c>
      <c r="F63" s="487"/>
      <c r="G63" s="498" t="str">
        <f>IF(ISBLANK(F63),"-",(F63/$D$50*$D$47*$B$68)*($B$57/$D$60))</f>
        <v>-</v>
      </c>
      <c r="H63" s="489" t="str">
        <f t="shared" si="0"/>
        <v>-</v>
      </c>
    </row>
    <row r="64" spans="1:11" ht="26.25" customHeight="1" x14ac:dyDescent="0.3">
      <c r="A64" s="584" t="s">
        <v>102</v>
      </c>
      <c r="B64" s="585">
        <v>1</v>
      </c>
      <c r="C64" s="615" t="s">
        <v>103</v>
      </c>
      <c r="D64" s="605">
        <v>256.64</v>
      </c>
      <c r="E64" s="494">
        <v>1</v>
      </c>
      <c r="F64" s="493">
        <v>171609076</v>
      </c>
      <c r="G64" s="492">
        <f>IF(ISBLANK(F64),"-",(F64/$D$50*$D$47*$B$68)*($B$57/$D$64))</f>
        <v>97.607198208366739</v>
      </c>
      <c r="H64" s="497">
        <f t="shared" si="0"/>
        <v>0.97607198208366741</v>
      </c>
    </row>
    <row r="65" spans="1:8" ht="26.25" customHeight="1" x14ac:dyDescent="0.3">
      <c r="A65" s="584" t="s">
        <v>104</v>
      </c>
      <c r="B65" s="585">
        <v>1</v>
      </c>
      <c r="C65" s="625"/>
      <c r="D65" s="606"/>
      <c r="E65" s="491">
        <v>2</v>
      </c>
      <c r="F65" s="398">
        <v>172207006</v>
      </c>
      <c r="G65" s="490">
        <f>IF(ISBLANK(F65),"-",(F65/$D$50*$D$47*$B$68)*($B$57/$D$64))</f>
        <v>97.947286701266322</v>
      </c>
      <c r="H65" s="496">
        <f t="shared" si="0"/>
        <v>0.97947286701266323</v>
      </c>
    </row>
    <row r="66" spans="1:8" ht="26.25" customHeight="1" x14ac:dyDescent="0.3">
      <c r="A66" s="584" t="s">
        <v>105</v>
      </c>
      <c r="B66" s="585">
        <v>1</v>
      </c>
      <c r="C66" s="625"/>
      <c r="D66" s="606"/>
      <c r="E66" s="491">
        <v>3</v>
      </c>
      <c r="F66" s="398">
        <v>171678343</v>
      </c>
      <c r="G66" s="490">
        <f>IF(ISBLANK(F66),"-",(F66/$D$50*$D$47*$B$68)*($B$57/$D$64))</f>
        <v>97.646595645587936</v>
      </c>
      <c r="H66" s="496">
        <f t="shared" si="0"/>
        <v>0.97646595645587941</v>
      </c>
    </row>
    <row r="67" spans="1:8" ht="27" customHeight="1" thickBot="1" x14ac:dyDescent="0.35">
      <c r="A67" s="584" t="s">
        <v>106</v>
      </c>
      <c r="B67" s="585">
        <v>1</v>
      </c>
      <c r="C67" s="626"/>
      <c r="D67" s="607"/>
      <c r="E67" s="488">
        <v>4</v>
      </c>
      <c r="F67" s="487"/>
      <c r="G67" s="486" t="str">
        <f>IF(ISBLANK(F67),"-",(F67/$D$50*$D$47*$B$68)*($B$57/$D$64))</f>
        <v>-</v>
      </c>
      <c r="H67" s="495" t="str">
        <f t="shared" si="0"/>
        <v>-</v>
      </c>
    </row>
    <row r="68" spans="1:8" ht="21.75" customHeight="1" x14ac:dyDescent="0.3">
      <c r="A68" s="584" t="s">
        <v>107</v>
      </c>
      <c r="B68" s="586">
        <f>(B67/B66)*(B65/B64)*(B63/B62)*(B61/B60)*B59</f>
        <v>100</v>
      </c>
      <c r="C68" s="615" t="s">
        <v>108</v>
      </c>
      <c r="D68" s="605">
        <v>259.58</v>
      </c>
      <c r="E68" s="494">
        <v>1</v>
      </c>
      <c r="F68" s="493">
        <v>174467412</v>
      </c>
      <c r="G68" s="492">
        <f>IF(ISBLANK(F68),"-",(F68/$D$50*$D$47*$B$68)*($B$57/$D$68))</f>
        <v>98.109041123225367</v>
      </c>
      <c r="H68" s="489">
        <f t="shared" si="0"/>
        <v>0.98109041123225371</v>
      </c>
    </row>
    <row r="69" spans="1:8" ht="21.75" customHeight="1" thickBot="1" x14ac:dyDescent="0.35">
      <c r="A69" s="587" t="s">
        <v>145</v>
      </c>
      <c r="B69" s="588">
        <f>D47*B68/B56*B57</f>
        <v>258.34000000000003</v>
      </c>
      <c r="C69" s="625"/>
      <c r="D69" s="606"/>
      <c r="E69" s="491">
        <v>2</v>
      </c>
      <c r="F69" s="398">
        <v>174226629</v>
      </c>
      <c r="G69" s="490">
        <f>IF(ISBLANK(F69),"-",(F69/$D$50*$D$47*$B$68)*($B$57/$D$68))</f>
        <v>97.973640540514964</v>
      </c>
      <c r="H69" s="489">
        <f t="shared" si="0"/>
        <v>0.97973640540514961</v>
      </c>
    </row>
    <row r="70" spans="1:8" ht="22.5" customHeight="1" x14ac:dyDescent="0.3">
      <c r="A70" s="610" t="s">
        <v>82</v>
      </c>
      <c r="B70" s="611"/>
      <c r="C70" s="625"/>
      <c r="D70" s="606"/>
      <c r="E70" s="491">
        <v>3</v>
      </c>
      <c r="F70" s="398">
        <v>174357482</v>
      </c>
      <c r="G70" s="490">
        <f>IF(ISBLANK(F70),"-",(F70/$D$50*$D$47*$B$68)*($B$57/$D$68))</f>
        <v>98.047223694015855</v>
      </c>
      <c r="H70" s="489">
        <f t="shared" si="0"/>
        <v>0.9804722369401585</v>
      </c>
    </row>
    <row r="71" spans="1:8" ht="21.75" customHeight="1" thickBot="1" x14ac:dyDescent="0.35">
      <c r="A71" s="593"/>
      <c r="B71" s="594"/>
      <c r="C71" s="627"/>
      <c r="D71" s="607"/>
      <c r="E71" s="488">
        <v>4</v>
      </c>
      <c r="F71" s="487"/>
      <c r="G71" s="486" t="str">
        <f>IF(ISBLANK(F71),"-",(F71/$D$50*$D$47*$B$68)*($B$57/$D$68))</f>
        <v>-</v>
      </c>
      <c r="H71" s="485" t="str">
        <f t="shared" si="0"/>
        <v>-</v>
      </c>
    </row>
    <row r="72" spans="1:8" ht="26.25" customHeight="1" x14ac:dyDescent="0.3">
      <c r="A72" s="311"/>
      <c r="B72" s="311"/>
      <c r="C72" s="311"/>
      <c r="D72" s="311"/>
      <c r="E72" s="311"/>
      <c r="F72" s="311"/>
      <c r="G72" s="484" t="s">
        <v>75</v>
      </c>
      <c r="H72" s="483">
        <f>AVERAGE(H60:H71)</f>
        <v>0.98497807363198575</v>
      </c>
    </row>
    <row r="73" spans="1:8" ht="26.25" customHeight="1" x14ac:dyDescent="0.3">
      <c r="C73" s="311"/>
      <c r="D73" s="311"/>
      <c r="E73" s="311"/>
      <c r="F73" s="311"/>
      <c r="G73" s="446" t="s">
        <v>88</v>
      </c>
      <c r="H73" s="482">
        <f>STDEV(H60:H71)/H72</f>
        <v>9.7789647720904118E-3</v>
      </c>
    </row>
    <row r="74" spans="1:8" ht="27" customHeight="1" thickBot="1" x14ac:dyDescent="0.35">
      <c r="A74" s="311"/>
      <c r="B74" s="311"/>
      <c r="C74" s="311"/>
      <c r="D74" s="311"/>
      <c r="E74" s="312"/>
      <c r="F74" s="311"/>
      <c r="G74" s="445" t="s">
        <v>20</v>
      </c>
      <c r="H74" s="481">
        <f>COUNT(H60:H71)</f>
        <v>9</v>
      </c>
    </row>
    <row r="75" spans="1:8" ht="18.75" x14ac:dyDescent="0.3">
      <c r="A75" s="311"/>
      <c r="B75" s="311"/>
      <c r="C75" s="311"/>
      <c r="D75" s="311"/>
      <c r="E75" s="312"/>
      <c r="F75" s="311"/>
      <c r="G75" s="324"/>
      <c r="H75" s="479"/>
    </row>
    <row r="76" spans="1:8" ht="26.25" customHeight="1" x14ac:dyDescent="0.3">
      <c r="A76" s="316" t="s">
        <v>138</v>
      </c>
      <c r="B76" s="324" t="s">
        <v>111</v>
      </c>
      <c r="C76" s="625" t="str">
        <f>B20</f>
        <v>DOXYCYCLINE as Doxycycline Hyclate</v>
      </c>
      <c r="D76" s="625"/>
      <c r="E76" s="314" t="s">
        <v>112</v>
      </c>
      <c r="F76" s="314"/>
      <c r="G76" s="323">
        <f>H72</f>
        <v>0.98497807363198575</v>
      </c>
      <c r="H76" s="479"/>
    </row>
    <row r="77" spans="1:8" ht="18.75" x14ac:dyDescent="0.3">
      <c r="A77" s="334" t="s">
        <v>113</v>
      </c>
      <c r="B77" s="334" t="s">
        <v>114</v>
      </c>
      <c r="C77" s="553"/>
      <c r="D77" s="531"/>
      <c r="E77" s="531"/>
      <c r="F77" s="531"/>
      <c r="G77" s="531"/>
      <c r="H77" s="531"/>
    </row>
    <row r="78" spans="1:8" ht="18.75" x14ac:dyDescent="0.3">
      <c r="A78" s="334"/>
      <c r="B78" s="334"/>
      <c r="C78" s="531"/>
      <c r="D78" s="531"/>
      <c r="E78" s="531"/>
      <c r="F78" s="531"/>
      <c r="G78" s="531"/>
      <c r="H78" s="531"/>
    </row>
    <row r="79" spans="1:8" ht="26.25" customHeight="1" x14ac:dyDescent="0.3">
      <c r="A79" s="316" t="s">
        <v>4</v>
      </c>
      <c r="B79" s="602" t="s">
        <v>135</v>
      </c>
      <c r="C79" s="602"/>
      <c r="D79" s="531"/>
      <c r="E79" s="531"/>
      <c r="F79" s="531"/>
      <c r="G79" s="531"/>
      <c r="H79" s="531"/>
    </row>
    <row r="80" spans="1:8" ht="26.25" customHeight="1" x14ac:dyDescent="0.3">
      <c r="A80" s="324" t="s">
        <v>52</v>
      </c>
      <c r="B80" s="603" t="str">
        <f>B27</f>
        <v>D23-2</v>
      </c>
      <c r="C80" s="603"/>
      <c r="D80" s="531"/>
      <c r="E80" s="531"/>
      <c r="F80" s="531"/>
      <c r="G80" s="531"/>
      <c r="H80" s="531"/>
    </row>
    <row r="81" spans="1:11" ht="27" customHeight="1" thickBot="1" x14ac:dyDescent="0.35">
      <c r="A81" s="324" t="s">
        <v>6</v>
      </c>
      <c r="B81" s="480">
        <f>B28</f>
        <v>98.45</v>
      </c>
      <c r="C81" s="553"/>
      <c r="D81" s="531"/>
      <c r="E81" s="531"/>
      <c r="F81" s="531"/>
      <c r="G81" s="531"/>
      <c r="H81" s="531"/>
    </row>
    <row r="82" spans="1:11" s="369" customFormat="1" ht="27" customHeight="1" thickBot="1" x14ac:dyDescent="0.3">
      <c r="A82" s="324" t="s">
        <v>53</v>
      </c>
      <c r="B82" s="480">
        <f>B29</f>
        <v>0</v>
      </c>
      <c r="C82" s="616" t="s">
        <v>144</v>
      </c>
      <c r="D82" s="617"/>
      <c r="E82" s="617"/>
      <c r="F82" s="617"/>
      <c r="G82" s="618"/>
      <c r="H82" s="405"/>
      <c r="I82" s="407"/>
      <c r="J82" s="407"/>
      <c r="K82" s="407"/>
    </row>
    <row r="83" spans="1:11" s="369" customFormat="1" ht="19.5" customHeight="1" thickBot="1" x14ac:dyDescent="0.3">
      <c r="A83" s="324" t="s">
        <v>55</v>
      </c>
      <c r="B83" s="479">
        <f>B81-B82</f>
        <v>98.45</v>
      </c>
      <c r="C83" s="478"/>
      <c r="D83" s="478"/>
      <c r="E83" s="478"/>
      <c r="F83" s="478"/>
      <c r="G83" s="477"/>
      <c r="H83" s="405"/>
      <c r="I83" s="407"/>
      <c r="J83" s="407"/>
      <c r="K83" s="407"/>
    </row>
    <row r="84" spans="1:11" s="369" customFormat="1" ht="27" customHeight="1" thickBot="1" x14ac:dyDescent="0.3">
      <c r="A84" s="324" t="s">
        <v>56</v>
      </c>
      <c r="B84" s="409">
        <v>888.88</v>
      </c>
      <c r="C84" s="635" t="s">
        <v>57</v>
      </c>
      <c r="D84" s="636"/>
      <c r="E84" s="636"/>
      <c r="F84" s="636"/>
      <c r="G84" s="636"/>
      <c r="H84" s="637"/>
      <c r="I84" s="407"/>
      <c r="J84" s="407"/>
      <c r="K84" s="407"/>
    </row>
    <row r="85" spans="1:11" s="369" customFormat="1" ht="27" customHeight="1" thickBot="1" x14ac:dyDescent="0.3">
      <c r="A85" s="324" t="s">
        <v>58</v>
      </c>
      <c r="B85" s="409">
        <v>1025.8699999999999</v>
      </c>
      <c r="C85" s="635" t="s">
        <v>59</v>
      </c>
      <c r="D85" s="636"/>
      <c r="E85" s="636"/>
      <c r="F85" s="636"/>
      <c r="G85" s="636"/>
      <c r="H85" s="637"/>
      <c r="I85" s="407"/>
      <c r="J85" s="407"/>
      <c r="K85" s="407"/>
    </row>
    <row r="86" spans="1:11" s="369" customFormat="1" ht="18.75" x14ac:dyDescent="0.25">
      <c r="A86" s="324"/>
      <c r="B86" s="408"/>
      <c r="C86" s="333"/>
      <c r="D86" s="333"/>
      <c r="E86" s="333"/>
      <c r="F86" s="333"/>
      <c r="G86" s="333"/>
      <c r="H86" s="333"/>
      <c r="I86" s="407"/>
      <c r="J86" s="407"/>
      <c r="K86" s="407"/>
    </row>
    <row r="87" spans="1:11" ht="18.75" x14ac:dyDescent="0.3">
      <c r="A87" s="324" t="s">
        <v>60</v>
      </c>
      <c r="B87" s="406">
        <f>B84/B85</f>
        <v>0.86646456178658127</v>
      </c>
      <c r="C87" s="539" t="s">
        <v>61</v>
      </c>
      <c r="D87" s="531"/>
      <c r="E87" s="531"/>
      <c r="F87" s="531"/>
      <c r="G87" s="531"/>
      <c r="H87" s="538"/>
    </row>
    <row r="88" spans="1:11" ht="19.5" customHeight="1" thickBot="1" x14ac:dyDescent="0.35">
      <c r="A88" s="324"/>
      <c r="B88" s="406"/>
      <c r="C88" s="531"/>
      <c r="D88" s="531"/>
      <c r="E88" s="531"/>
      <c r="F88" s="531"/>
      <c r="G88" s="531"/>
      <c r="H88" s="538"/>
    </row>
    <row r="89" spans="1:11" ht="27" customHeight="1" thickBot="1" x14ac:dyDescent="0.35">
      <c r="A89" s="440" t="s">
        <v>142</v>
      </c>
      <c r="B89" s="439">
        <v>100</v>
      </c>
      <c r="C89" s="534"/>
      <c r="D89" s="438" t="s">
        <v>63</v>
      </c>
      <c r="E89" s="476"/>
      <c r="F89" s="608" t="s">
        <v>64</v>
      </c>
      <c r="G89" s="614"/>
      <c r="H89" s="538"/>
    </row>
    <row r="90" spans="1:11" ht="26.25" customHeight="1" x14ac:dyDescent="0.3">
      <c r="A90" s="423" t="s">
        <v>65</v>
      </c>
      <c r="B90" s="390">
        <v>5</v>
      </c>
      <c r="C90" s="320" t="s">
        <v>66</v>
      </c>
      <c r="D90" s="474" t="s">
        <v>67</v>
      </c>
      <c r="E90" s="475" t="s">
        <v>68</v>
      </c>
      <c r="F90" s="474" t="s">
        <v>67</v>
      </c>
      <c r="G90" s="473" t="s">
        <v>68</v>
      </c>
      <c r="H90" s="538"/>
    </row>
    <row r="91" spans="1:11" ht="26.25" customHeight="1" x14ac:dyDescent="0.3">
      <c r="A91" s="423" t="s">
        <v>70</v>
      </c>
      <c r="B91" s="390">
        <v>50</v>
      </c>
      <c r="C91" s="472">
        <v>1</v>
      </c>
      <c r="D91" s="400">
        <v>0.32600000000000001</v>
      </c>
      <c r="E91" s="471">
        <f>IF(ISBLANK(D91),"-",$D$101/$D$98*D91)</f>
        <v>0.38672854144712487</v>
      </c>
      <c r="F91" s="524">
        <v>0.42199999999999999</v>
      </c>
      <c r="G91" s="470">
        <f>IF(ISBLANK(F91),"-",$D$101/$F$98*F91)</f>
        <v>0.38928594095042934</v>
      </c>
      <c r="H91" s="538"/>
    </row>
    <row r="92" spans="1:11" ht="26.25" customHeight="1" x14ac:dyDescent="0.3">
      <c r="A92" s="423" t="s">
        <v>71</v>
      </c>
      <c r="B92" s="390">
        <v>1</v>
      </c>
      <c r="C92" s="311">
        <v>2</v>
      </c>
      <c r="D92" s="398">
        <v>0.33300000000000002</v>
      </c>
      <c r="E92" s="469">
        <f>IF(ISBLANK(D92),"-",$D$101/$D$98*D92)</f>
        <v>0.39503252853341286</v>
      </c>
      <c r="F92" s="525">
        <v>0.42699999999999999</v>
      </c>
      <c r="G92" s="468">
        <f>IF(ISBLANK(F92),"-",$D$101/$F$98*F92)</f>
        <v>0.39389833361571874</v>
      </c>
      <c r="H92" s="538"/>
    </row>
    <row r="93" spans="1:11" ht="26.25" customHeight="1" x14ac:dyDescent="0.3">
      <c r="A93" s="423" t="s">
        <v>72</v>
      </c>
      <c r="B93" s="390">
        <v>1</v>
      </c>
      <c r="C93" s="311">
        <v>3</v>
      </c>
      <c r="D93" s="398">
        <v>0.33500000000000002</v>
      </c>
      <c r="E93" s="469">
        <f>IF(ISBLANK(D93),"-",$D$101/$D$98*D93)</f>
        <v>0.39740509627235227</v>
      </c>
      <c r="F93" s="525">
        <v>0.42499999999999999</v>
      </c>
      <c r="G93" s="468">
        <f>IF(ISBLANK(F93),"-",$D$101/$F$98*F93)</f>
        <v>0.39205337654960298</v>
      </c>
      <c r="H93" s="538"/>
    </row>
    <row r="94" spans="1:11" ht="26.25" customHeight="1" x14ac:dyDescent="0.3">
      <c r="A94" s="423" t="s">
        <v>73</v>
      </c>
      <c r="B94" s="390">
        <v>1</v>
      </c>
      <c r="C94" s="467">
        <v>4</v>
      </c>
      <c r="D94" s="395"/>
      <c r="E94" s="466" t="str">
        <f>IF(ISBLANK(D94),"-",$D$101/$D$98*D94)</f>
        <v>-</v>
      </c>
      <c r="F94" s="465"/>
      <c r="G94" s="464" t="str">
        <f>IF(ISBLANK(F94),"-",$D$101/$F$98*F94)</f>
        <v>-</v>
      </c>
      <c r="H94" s="538"/>
    </row>
    <row r="95" spans="1:11" ht="27" customHeight="1" thickBot="1" x14ac:dyDescent="0.35">
      <c r="A95" s="423" t="s">
        <v>74</v>
      </c>
      <c r="B95" s="390">
        <v>1</v>
      </c>
      <c r="C95" s="324" t="s">
        <v>75</v>
      </c>
      <c r="D95" s="463">
        <f>AVERAGE(D91:D94)</f>
        <v>0.33133333333333331</v>
      </c>
      <c r="E95" s="462">
        <f>AVERAGE(E91:E94)</f>
        <v>0.39305538875096335</v>
      </c>
      <c r="F95" s="461">
        <f>AVERAGE(F91:F94)</f>
        <v>0.42466666666666669</v>
      </c>
      <c r="G95" s="460">
        <f>AVERAGE(G91:G94)</f>
        <v>0.39174588370525038</v>
      </c>
      <c r="H95" s="538"/>
    </row>
    <row r="96" spans="1:11" ht="26.25" customHeight="1" x14ac:dyDescent="0.3">
      <c r="A96" s="423" t="s">
        <v>76</v>
      </c>
      <c r="B96" s="390">
        <v>1</v>
      </c>
      <c r="C96" s="459" t="s">
        <v>77</v>
      </c>
      <c r="D96" s="458">
        <v>10.98</v>
      </c>
      <c r="E96" s="314"/>
      <c r="F96" s="457">
        <v>14.12</v>
      </c>
      <c r="G96" s="538"/>
      <c r="H96" s="538"/>
    </row>
    <row r="97" spans="1:9" ht="26.25" customHeight="1" x14ac:dyDescent="0.3">
      <c r="A97" s="423" t="s">
        <v>78</v>
      </c>
      <c r="B97" s="390">
        <v>1</v>
      </c>
      <c r="C97" s="453" t="s">
        <v>79</v>
      </c>
      <c r="D97" s="449">
        <f>D96*$B$87</f>
        <v>9.5137808884166635</v>
      </c>
      <c r="E97" s="311"/>
      <c r="F97" s="456">
        <f>F96*$B$87</f>
        <v>12.234479612426528</v>
      </c>
      <c r="G97" s="538"/>
      <c r="H97" s="538"/>
    </row>
    <row r="98" spans="1:9" ht="19.5" customHeight="1" thickBot="1" x14ac:dyDescent="0.35">
      <c r="A98" s="423" t="s">
        <v>80</v>
      </c>
      <c r="B98" s="422">
        <f>(B97/B96)*(B95/B94)*(B93/B92)*(B91/B90)*B89</f>
        <v>1000</v>
      </c>
      <c r="C98" s="453" t="s">
        <v>81</v>
      </c>
      <c r="D98" s="455">
        <f>D97*$B$83/100</f>
        <v>9.3663172846462057</v>
      </c>
      <c r="E98" s="312"/>
      <c r="F98" s="454">
        <f>F97*$B$83/100</f>
        <v>12.044845178433915</v>
      </c>
      <c r="G98" s="538"/>
      <c r="H98" s="538"/>
    </row>
    <row r="99" spans="1:9" ht="19.5" customHeight="1" thickBot="1" x14ac:dyDescent="0.35">
      <c r="A99" s="595" t="s">
        <v>82</v>
      </c>
      <c r="B99" s="596"/>
      <c r="C99" s="453" t="s">
        <v>83</v>
      </c>
      <c r="D99" s="452">
        <f>D98/$B$98</f>
        <v>9.3663172846462049E-3</v>
      </c>
      <c r="E99" s="451"/>
      <c r="F99" s="450">
        <f>F98/$B$98</f>
        <v>1.2044845178433915E-2</v>
      </c>
      <c r="G99" s="443"/>
      <c r="H99" s="538"/>
    </row>
    <row r="100" spans="1:9" ht="19.5" customHeight="1" thickBot="1" x14ac:dyDescent="0.35">
      <c r="A100" s="597"/>
      <c r="B100" s="598"/>
      <c r="C100" s="540" t="s">
        <v>141</v>
      </c>
      <c r="D100" s="541">
        <f>$B$56/$B$116</f>
        <v>1.1111111111111112E-2</v>
      </c>
      <c r="E100" s="448"/>
      <c r="F100" s="448"/>
      <c r="G100" s="447"/>
      <c r="H100" s="538"/>
    </row>
    <row r="101" spans="1:9" ht="18.75" x14ac:dyDescent="0.3">
      <c r="A101" s="531"/>
      <c r="B101" s="531"/>
      <c r="C101" s="542" t="s">
        <v>85</v>
      </c>
      <c r="D101" s="543">
        <f>D100*$B$98</f>
        <v>11.111111111111111</v>
      </c>
      <c r="E101" s="448"/>
      <c r="F101" s="448"/>
      <c r="G101" s="443"/>
      <c r="H101" s="442"/>
    </row>
    <row r="102" spans="1:9" ht="19.5" customHeight="1" thickBot="1" x14ac:dyDescent="0.35">
      <c r="A102" s="531"/>
      <c r="B102" s="531"/>
      <c r="C102" s="544" t="s">
        <v>86</v>
      </c>
      <c r="D102" s="545">
        <f>D101/B34</f>
        <v>12.823503235032348</v>
      </c>
      <c r="E102" s="444"/>
      <c r="F102" s="444"/>
      <c r="G102" s="443"/>
      <c r="H102" s="442"/>
      <c r="I102" s="378"/>
    </row>
    <row r="103" spans="1:9" ht="18.75" x14ac:dyDescent="0.3">
      <c r="A103" s="531"/>
      <c r="B103" s="531"/>
      <c r="C103" s="546" t="s">
        <v>155</v>
      </c>
      <c r="D103" s="547">
        <f>AVERAGE(E91:E94,G91:G94)</f>
        <v>0.39240063622810678</v>
      </c>
      <c r="E103" s="444"/>
      <c r="F103" s="444"/>
      <c r="G103" s="447"/>
      <c r="H103" s="442"/>
      <c r="I103" s="336"/>
    </row>
    <row r="104" spans="1:9" ht="18.75" x14ac:dyDescent="0.3">
      <c r="A104" s="531"/>
      <c r="B104" s="531"/>
      <c r="C104" s="548" t="s">
        <v>88</v>
      </c>
      <c r="D104" s="549">
        <f>STDEV(E91:E94,G91:G94)/D103</f>
        <v>9.9492158722308387E-3</v>
      </c>
      <c r="E104" s="444"/>
      <c r="F104" s="444"/>
      <c r="G104" s="443"/>
      <c r="H104" s="442"/>
      <c r="I104" s="336"/>
    </row>
    <row r="105" spans="1:9" ht="19.5" customHeight="1" thickBot="1" x14ac:dyDescent="0.35">
      <c r="A105" s="531"/>
      <c r="B105" s="531"/>
      <c r="C105" s="550" t="s">
        <v>20</v>
      </c>
      <c r="D105" s="551">
        <f>COUNT(E91:E94,G91:G94)</f>
        <v>6</v>
      </c>
      <c r="E105" s="444"/>
      <c r="F105" s="444"/>
      <c r="G105" s="443"/>
      <c r="H105" s="442"/>
      <c r="I105" s="336"/>
    </row>
    <row r="106" spans="1:9" ht="19.5" customHeight="1" thickBot="1" x14ac:dyDescent="0.35">
      <c r="A106" s="441"/>
      <c r="B106" s="441"/>
      <c r="C106" s="441"/>
      <c r="D106" s="441"/>
      <c r="E106" s="441"/>
      <c r="F106" s="441"/>
      <c r="G106" s="443"/>
      <c r="H106" s="442"/>
    </row>
    <row r="107" spans="1:9" ht="26.25" customHeight="1" x14ac:dyDescent="0.3">
      <c r="A107" s="440" t="s">
        <v>122</v>
      </c>
      <c r="B107" s="439">
        <v>900</v>
      </c>
      <c r="C107" s="438" t="s">
        <v>41</v>
      </c>
      <c r="D107" s="437" t="s">
        <v>67</v>
      </c>
      <c r="E107" s="554" t="s">
        <v>124</v>
      </c>
      <c r="F107" s="436" t="s">
        <v>125</v>
      </c>
      <c r="G107" s="442"/>
      <c r="H107" s="442"/>
    </row>
    <row r="108" spans="1:9" ht="26.25" customHeight="1" x14ac:dyDescent="0.3">
      <c r="A108" s="423" t="s">
        <v>126</v>
      </c>
      <c r="B108" s="390">
        <v>5</v>
      </c>
      <c r="C108" s="427">
        <v>1</v>
      </c>
      <c r="D108" s="520">
        <v>0.42099999999999999</v>
      </c>
      <c r="E108" s="435">
        <f>IF(ISBLANK(D108),"-",D108/$D$103*$D$100*$B$116)</f>
        <v>107.28830718696085</v>
      </c>
      <c r="F108" s="434">
        <f t="shared" ref="F108:F113" si="1">IF(ISBLANK(D108), "-", E108/$B$56)</f>
        <v>1.0728830718696085</v>
      </c>
      <c r="G108" s="612" t="s">
        <v>157</v>
      </c>
      <c r="H108" s="613"/>
    </row>
    <row r="109" spans="1:9" ht="26.25" customHeight="1" x14ac:dyDescent="0.3">
      <c r="A109" s="423" t="s">
        <v>99</v>
      </c>
      <c r="B109" s="390">
        <v>50</v>
      </c>
      <c r="C109" s="427">
        <v>2</v>
      </c>
      <c r="D109" s="520">
        <v>0.41099999999999998</v>
      </c>
      <c r="E109" s="433">
        <f t="shared" ref="E109:E113" si="2">IF(ISBLANK(D109),"-",D109/$D$103*$D$100*$B$116)</f>
        <v>104.73989133928956</v>
      </c>
      <c r="F109" s="432">
        <f t="shared" si="1"/>
        <v>1.0473989133928956</v>
      </c>
      <c r="G109" s="612"/>
      <c r="H109" s="613"/>
    </row>
    <row r="110" spans="1:9" ht="26.25" customHeight="1" x14ac:dyDescent="0.3">
      <c r="A110" s="423" t="s">
        <v>100</v>
      </c>
      <c r="B110" s="390">
        <v>1</v>
      </c>
      <c r="C110" s="427">
        <v>3</v>
      </c>
      <c r="D110" s="520">
        <v>0.42099999999999999</v>
      </c>
      <c r="E110" s="433">
        <f t="shared" si="2"/>
        <v>107.28830718696085</v>
      </c>
      <c r="F110" s="432">
        <f t="shared" si="1"/>
        <v>1.0728830718696085</v>
      </c>
      <c r="G110" s="612"/>
      <c r="H110" s="613"/>
    </row>
    <row r="111" spans="1:9" ht="26.25" customHeight="1" x14ac:dyDescent="0.3">
      <c r="A111" s="423" t="s">
        <v>101</v>
      </c>
      <c r="B111" s="390">
        <v>1</v>
      </c>
      <c r="C111" s="427">
        <v>4</v>
      </c>
      <c r="D111" s="520">
        <v>0.42799999999999999</v>
      </c>
      <c r="E111" s="433">
        <f t="shared" si="2"/>
        <v>109.07219828033075</v>
      </c>
      <c r="F111" s="432">
        <f t="shared" si="1"/>
        <v>1.0907219828033075</v>
      </c>
      <c r="G111" s="612"/>
      <c r="H111" s="613"/>
    </row>
    <row r="112" spans="1:9" ht="26.25" customHeight="1" x14ac:dyDescent="0.3">
      <c r="A112" s="423" t="s">
        <v>102</v>
      </c>
      <c r="B112" s="390">
        <v>1</v>
      </c>
      <c r="C112" s="427">
        <v>5</v>
      </c>
      <c r="D112" s="520">
        <v>0.42699999999999999</v>
      </c>
      <c r="E112" s="433">
        <f t="shared" si="2"/>
        <v>108.81735669556363</v>
      </c>
      <c r="F112" s="432">
        <f t="shared" si="1"/>
        <v>1.0881735669556363</v>
      </c>
      <c r="G112" s="612"/>
      <c r="H112" s="613"/>
    </row>
    <row r="113" spans="1:11" ht="26.25" customHeight="1" x14ac:dyDescent="0.3">
      <c r="A113" s="423" t="s">
        <v>104</v>
      </c>
      <c r="B113" s="390">
        <v>1</v>
      </c>
      <c r="C113" s="431">
        <v>6</v>
      </c>
      <c r="D113" s="521">
        <v>0.42399999999999999</v>
      </c>
      <c r="E113" s="430">
        <f t="shared" si="2"/>
        <v>108.05283194126223</v>
      </c>
      <c r="F113" s="429">
        <f t="shared" si="1"/>
        <v>1.0805283194126223</v>
      </c>
      <c r="G113" s="612"/>
      <c r="H113" s="613"/>
    </row>
    <row r="114" spans="1:11" ht="26.25" customHeight="1" x14ac:dyDescent="0.3">
      <c r="A114" s="423" t="s">
        <v>105</v>
      </c>
      <c r="B114" s="390">
        <v>1</v>
      </c>
      <c r="C114" s="427"/>
      <c r="D114" s="311"/>
      <c r="E114" s="314"/>
      <c r="F114" s="428"/>
      <c r="G114" s="443"/>
      <c r="H114" s="442"/>
    </row>
    <row r="115" spans="1:11" ht="26.25" customHeight="1" x14ac:dyDescent="0.3">
      <c r="A115" s="423" t="s">
        <v>106</v>
      </c>
      <c r="B115" s="390">
        <v>1</v>
      </c>
      <c r="C115" s="427"/>
      <c r="D115" s="426"/>
      <c r="E115" s="425" t="s">
        <v>75</v>
      </c>
      <c r="F115" s="424">
        <f>AVERAGE(F108:F113)</f>
        <v>1.0754314877172799</v>
      </c>
      <c r="G115" s="443"/>
      <c r="H115" s="442"/>
    </row>
    <row r="116" spans="1:11" ht="27" customHeight="1" thickBot="1" x14ac:dyDescent="0.35">
      <c r="A116" s="423" t="s">
        <v>107</v>
      </c>
      <c r="B116" s="422">
        <f>(B115/B114)*(B113/B112)*(B111/B110)*(B109/B108)*B107</f>
        <v>9000</v>
      </c>
      <c r="C116" s="421"/>
      <c r="D116" s="420"/>
      <c r="E116" s="324" t="s">
        <v>88</v>
      </c>
      <c r="F116" s="419">
        <f>STDEV(F108:F113)/F115</f>
        <v>1.4530530537209424E-2</v>
      </c>
      <c r="G116" s="443"/>
      <c r="H116" s="442"/>
    </row>
    <row r="117" spans="1:11" ht="19.5" customHeight="1" thickBot="1" x14ac:dyDescent="0.35">
      <c r="A117" s="591" t="s">
        <v>82</v>
      </c>
      <c r="B117" s="592"/>
      <c r="C117" s="418"/>
      <c r="D117" s="417"/>
      <c r="E117" s="416" t="s">
        <v>20</v>
      </c>
      <c r="F117" s="415">
        <f>COUNT(F108:F113)</f>
        <v>6</v>
      </c>
      <c r="G117" s="443"/>
      <c r="H117" s="442"/>
      <c r="I117" s="336"/>
    </row>
    <row r="118" spans="1:11" ht="19.5" customHeight="1" thickBot="1" x14ac:dyDescent="0.35">
      <c r="A118" s="593"/>
      <c r="B118" s="594"/>
      <c r="C118" s="314"/>
      <c r="D118" s="314"/>
      <c r="E118" s="314"/>
      <c r="F118" s="311"/>
      <c r="G118" s="314"/>
      <c r="H118" s="314"/>
    </row>
    <row r="119" spans="1:11" ht="18.75" x14ac:dyDescent="0.3">
      <c r="A119" s="333"/>
      <c r="B119" s="333"/>
      <c r="C119" s="314"/>
      <c r="D119" s="314"/>
      <c r="E119" s="314"/>
      <c r="F119" s="311"/>
      <c r="G119" s="314"/>
      <c r="H119" s="314"/>
    </row>
    <row r="120" spans="1:11" ht="18.75" x14ac:dyDescent="0.3">
      <c r="A120" s="335" t="s">
        <v>140</v>
      </c>
      <c r="B120" s="335" t="s">
        <v>143</v>
      </c>
      <c r="C120" s="325"/>
      <c r="D120" s="325"/>
      <c r="E120" s="325"/>
      <c r="F120" s="325"/>
      <c r="G120" s="325"/>
      <c r="H120" s="325"/>
    </row>
    <row r="121" spans="1:11" ht="18.75" x14ac:dyDescent="0.3">
      <c r="A121" s="335"/>
      <c r="B121" s="335"/>
      <c r="C121" s="325"/>
      <c r="D121" s="325"/>
      <c r="E121" s="325"/>
      <c r="F121" s="325"/>
      <c r="G121" s="325"/>
      <c r="H121" s="325"/>
    </row>
    <row r="122" spans="1:11" ht="18.75" x14ac:dyDescent="0.3">
      <c r="A122" s="414" t="s">
        <v>4</v>
      </c>
      <c r="B122" s="413" t="s">
        <v>149</v>
      </c>
      <c r="C122" s="325"/>
      <c r="D122" s="325"/>
      <c r="E122" s="325"/>
      <c r="F122" s="325"/>
      <c r="G122" s="325"/>
      <c r="H122" s="325"/>
    </row>
    <row r="123" spans="1:11" ht="18.75" x14ac:dyDescent="0.3">
      <c r="A123" s="393" t="s">
        <v>52</v>
      </c>
      <c r="B123" s="413" t="s">
        <v>136</v>
      </c>
      <c r="C123" s="325"/>
      <c r="D123" s="325"/>
      <c r="E123" s="325"/>
      <c r="F123" s="325"/>
      <c r="G123" s="325"/>
      <c r="H123" s="325"/>
    </row>
    <row r="124" spans="1:11" ht="19.5" customHeight="1" thickBot="1" x14ac:dyDescent="0.35">
      <c r="A124" s="393" t="s">
        <v>6</v>
      </c>
      <c r="B124" s="413">
        <v>98.45</v>
      </c>
      <c r="C124" s="325"/>
      <c r="D124" s="325"/>
      <c r="E124" s="325"/>
      <c r="F124" s="325"/>
      <c r="G124" s="325"/>
      <c r="H124" s="325"/>
    </row>
    <row r="125" spans="1:11" s="369" customFormat="1" ht="15.75" customHeight="1" thickBot="1" x14ac:dyDescent="0.35">
      <c r="A125" s="393" t="s">
        <v>53</v>
      </c>
      <c r="B125" s="413">
        <v>0</v>
      </c>
      <c r="C125" s="628" t="s">
        <v>54</v>
      </c>
      <c r="D125" s="629"/>
      <c r="E125" s="629"/>
      <c r="F125" s="629"/>
      <c r="G125" s="630"/>
      <c r="I125" s="407"/>
      <c r="J125" s="407"/>
      <c r="K125" s="407"/>
    </row>
    <row r="126" spans="1:11" s="369" customFormat="1" ht="19.5" customHeight="1" thickBot="1" x14ac:dyDescent="0.35">
      <c r="A126" s="393" t="s">
        <v>55</v>
      </c>
      <c r="B126" s="412">
        <f>B124-B125</f>
        <v>98.45</v>
      </c>
      <c r="C126" s="411"/>
      <c r="D126" s="411"/>
      <c r="E126" s="411"/>
      <c r="F126" s="411"/>
      <c r="G126" s="410"/>
      <c r="I126" s="407"/>
      <c r="J126" s="407"/>
      <c r="K126" s="407"/>
    </row>
    <row r="127" spans="1:11" s="369" customFormat="1" ht="27" customHeight="1" thickBot="1" x14ac:dyDescent="0.3">
      <c r="A127" s="324" t="s">
        <v>56</v>
      </c>
      <c r="B127" s="409">
        <v>888.88</v>
      </c>
      <c r="C127" s="619" t="s">
        <v>57</v>
      </c>
      <c r="D127" s="620"/>
      <c r="E127" s="620"/>
      <c r="F127" s="620"/>
      <c r="G127" s="620"/>
      <c r="H127" s="621"/>
      <c r="I127" s="407"/>
      <c r="J127" s="407"/>
      <c r="K127" s="407"/>
    </row>
    <row r="128" spans="1:11" s="369" customFormat="1" ht="27" customHeight="1" thickBot="1" x14ac:dyDescent="0.3">
      <c r="A128" s="324" t="s">
        <v>58</v>
      </c>
      <c r="B128" s="409">
        <v>1025.8699999999999</v>
      </c>
      <c r="C128" s="622" t="s">
        <v>59</v>
      </c>
      <c r="D128" s="623"/>
      <c r="E128" s="623"/>
      <c r="F128" s="623"/>
      <c r="G128" s="623"/>
      <c r="H128" s="624"/>
      <c r="I128" s="407"/>
      <c r="J128" s="407"/>
      <c r="K128" s="407"/>
    </row>
    <row r="129" spans="1:11" s="369" customFormat="1" ht="18.75" x14ac:dyDescent="0.25">
      <c r="A129" s="324"/>
      <c r="B129" s="408"/>
      <c r="C129" s="333"/>
      <c r="D129" s="333"/>
      <c r="E129" s="333"/>
      <c r="F129" s="333"/>
      <c r="G129" s="333"/>
      <c r="H129" s="333"/>
      <c r="I129" s="407"/>
      <c r="J129" s="407"/>
      <c r="K129" s="407"/>
    </row>
    <row r="130" spans="1:11" ht="18.75" x14ac:dyDescent="0.3">
      <c r="A130" s="324" t="s">
        <v>60</v>
      </c>
      <c r="B130" s="406">
        <f>B127/B128</f>
        <v>0.86646456178658127</v>
      </c>
      <c r="C130" s="314" t="s">
        <v>61</v>
      </c>
      <c r="D130" s="405"/>
      <c r="E130" s="405"/>
      <c r="F130" s="405"/>
      <c r="G130" s="405"/>
      <c r="H130" s="405"/>
    </row>
    <row r="131" spans="1:11" ht="19.5" customHeight="1" thickBot="1" x14ac:dyDescent="0.35">
      <c r="A131" s="335"/>
      <c r="B131" s="335"/>
      <c r="C131" s="325"/>
      <c r="D131" s="325"/>
      <c r="E131" s="325"/>
      <c r="F131" s="325"/>
      <c r="G131" s="325"/>
      <c r="H131" s="325"/>
    </row>
    <row r="132" spans="1:11" ht="27" customHeight="1" thickBot="1" x14ac:dyDescent="0.35">
      <c r="A132" s="366" t="s">
        <v>142</v>
      </c>
      <c r="B132" s="365">
        <v>100</v>
      </c>
      <c r="C132" s="325"/>
      <c r="D132" s="631" t="s">
        <v>63</v>
      </c>
      <c r="E132" s="632"/>
      <c r="F132" s="631" t="s">
        <v>64</v>
      </c>
      <c r="G132" s="632"/>
      <c r="H132" s="325"/>
    </row>
    <row r="133" spans="1:11" ht="26.25" customHeight="1" x14ac:dyDescent="0.3">
      <c r="A133" s="330" t="s">
        <v>65</v>
      </c>
      <c r="B133" s="349">
        <v>5</v>
      </c>
      <c r="C133" s="404" t="s">
        <v>154</v>
      </c>
      <c r="D133" s="403" t="s">
        <v>67</v>
      </c>
      <c r="E133" s="402" t="s">
        <v>68</v>
      </c>
      <c r="F133" s="403" t="s">
        <v>67</v>
      </c>
      <c r="G133" s="402" t="s">
        <v>68</v>
      </c>
      <c r="H133" s="325"/>
    </row>
    <row r="134" spans="1:11" ht="26.25" customHeight="1" x14ac:dyDescent="0.3">
      <c r="A134" s="330" t="s">
        <v>70</v>
      </c>
      <c r="B134" s="349">
        <v>50</v>
      </c>
      <c r="C134" s="401">
        <v>1</v>
      </c>
      <c r="D134" s="400">
        <v>0.32600000000000001</v>
      </c>
      <c r="E134" s="399">
        <f>IF(ISBLANK(D134),"-",$D$144/$D$141*D134)</f>
        <v>0.38672854144712487</v>
      </c>
      <c r="F134" s="400">
        <v>0.42199999999999999</v>
      </c>
      <c r="G134" s="399">
        <f>IF(ISBLANK(F134),"-",$D$144/$F$141*F134)</f>
        <v>0.38928594095042934</v>
      </c>
      <c r="H134" s="325"/>
    </row>
    <row r="135" spans="1:11" ht="26.25" customHeight="1" x14ac:dyDescent="0.3">
      <c r="A135" s="330" t="s">
        <v>71</v>
      </c>
      <c r="B135" s="349">
        <v>1</v>
      </c>
      <c r="C135" s="326">
        <v>2</v>
      </c>
      <c r="D135" s="398">
        <v>0.33300000000000002</v>
      </c>
      <c r="E135" s="397">
        <f>IF(ISBLANK(D135),"-",$D$144/$D$141*D135)</f>
        <v>0.39503252853341286</v>
      </c>
      <c r="F135" s="398">
        <v>0.42699999999999999</v>
      </c>
      <c r="G135" s="397">
        <f>IF(ISBLANK(F135),"-",$D$144/$F$141*F135)</f>
        <v>0.39389833361571874</v>
      </c>
      <c r="H135" s="325"/>
    </row>
    <row r="136" spans="1:11" ht="26.25" customHeight="1" x14ac:dyDescent="0.3">
      <c r="A136" s="330" t="s">
        <v>72</v>
      </c>
      <c r="B136" s="349">
        <v>1</v>
      </c>
      <c r="C136" s="326">
        <v>3</v>
      </c>
      <c r="D136" s="398">
        <v>0.33500000000000002</v>
      </c>
      <c r="E136" s="397">
        <f>IF(ISBLANK(D136),"-",$D$144/$D$141*D136)</f>
        <v>0.39740509627235227</v>
      </c>
      <c r="F136" s="398">
        <v>0.42499999999999999</v>
      </c>
      <c r="G136" s="397">
        <f>IF(ISBLANK(F136),"-",$D$144/$F$141*F136)</f>
        <v>0.39205337654960298</v>
      </c>
      <c r="H136" s="325"/>
    </row>
    <row r="137" spans="1:11" ht="26.25" customHeight="1" x14ac:dyDescent="0.3">
      <c r="A137" s="330" t="s">
        <v>73</v>
      </c>
      <c r="B137" s="349">
        <v>1</v>
      </c>
      <c r="C137" s="396">
        <v>4</v>
      </c>
      <c r="D137" s="395"/>
      <c r="E137" s="394" t="str">
        <f>IF(ISBLANK(D137),"-",$D$144/$D$141*D137)</f>
        <v>-</v>
      </c>
      <c r="F137" s="395"/>
      <c r="G137" s="394" t="str">
        <f>IF(ISBLANK(F137),"-",$D$144/$D$141*F137)</f>
        <v>-</v>
      </c>
      <c r="H137" s="325"/>
    </row>
    <row r="138" spans="1:11" ht="27" customHeight="1" thickBot="1" x14ac:dyDescent="0.35">
      <c r="A138" s="330" t="s">
        <v>74</v>
      </c>
      <c r="B138" s="349">
        <v>1</v>
      </c>
      <c r="C138" s="393" t="s">
        <v>75</v>
      </c>
      <c r="D138" s="552">
        <f>AVERAGE(D134:D137)</f>
        <v>0.33133333333333331</v>
      </c>
      <c r="E138" s="392">
        <f>AVERAGE(E134:E137)</f>
        <v>0.39305538875096335</v>
      </c>
      <c r="F138" s="552">
        <f>AVERAGE(F134:F137)</f>
        <v>0.42466666666666669</v>
      </c>
      <c r="G138" s="526">
        <f>AVERAGE(G134:G137)</f>
        <v>0.39174588370525038</v>
      </c>
      <c r="H138" s="325"/>
    </row>
    <row r="139" spans="1:11" ht="26.25" customHeight="1" x14ac:dyDescent="0.3">
      <c r="A139" s="330" t="s">
        <v>76</v>
      </c>
      <c r="B139" s="349">
        <v>1</v>
      </c>
      <c r="C139" s="391" t="s">
        <v>117</v>
      </c>
      <c r="D139" s="390">
        <v>10.98</v>
      </c>
      <c r="E139" s="325"/>
      <c r="F139" s="389">
        <v>14.12</v>
      </c>
      <c r="G139" s="325"/>
      <c r="H139" s="325"/>
    </row>
    <row r="140" spans="1:11" ht="26.25" customHeight="1" x14ac:dyDescent="0.3">
      <c r="A140" s="330" t="s">
        <v>78</v>
      </c>
      <c r="B140" s="349">
        <v>1</v>
      </c>
      <c r="C140" s="383" t="s">
        <v>118</v>
      </c>
      <c r="D140" s="382">
        <f>D139*B130</f>
        <v>9.5137808884166635</v>
      </c>
      <c r="E140" s="326"/>
      <c r="F140" s="388">
        <f>F139*B130</f>
        <v>12.234479612426528</v>
      </c>
      <c r="G140" s="325"/>
      <c r="H140" s="325"/>
    </row>
    <row r="141" spans="1:11" ht="19.5" customHeight="1" thickBot="1" x14ac:dyDescent="0.35">
      <c r="A141" s="330" t="s">
        <v>80</v>
      </c>
      <c r="B141" s="344">
        <f>(B140/B139)*(B138/B137)*(B136/B135)*(B134/B133)*B132</f>
        <v>1000</v>
      </c>
      <c r="C141" s="383" t="s">
        <v>119</v>
      </c>
      <c r="D141" s="384">
        <f>D140*B126/100</f>
        <v>9.3663172846462057</v>
      </c>
      <c r="E141" s="386"/>
      <c r="F141" s="387">
        <f>F140*B126/100</f>
        <v>12.044845178433915</v>
      </c>
      <c r="G141" s="325"/>
      <c r="H141" s="325"/>
    </row>
    <row r="142" spans="1:11" ht="19.5" customHeight="1" thickBot="1" x14ac:dyDescent="0.35">
      <c r="A142" s="591" t="s">
        <v>82</v>
      </c>
      <c r="B142" s="633"/>
      <c r="C142" s="383" t="s">
        <v>120</v>
      </c>
      <c r="D142" s="522">
        <f>D141/$B$141</f>
        <v>9.3663172846462049E-3</v>
      </c>
      <c r="E142" s="386"/>
      <c r="F142" s="385">
        <f>F141/$B$141</f>
        <v>1.2044845178433915E-2</v>
      </c>
      <c r="G142" s="369"/>
      <c r="H142" s="368"/>
    </row>
    <row r="143" spans="1:11" ht="19.5" customHeight="1" thickBot="1" x14ac:dyDescent="0.35">
      <c r="A143" s="593"/>
      <c r="B143" s="634"/>
      <c r="C143" s="383" t="s">
        <v>141</v>
      </c>
      <c r="D143" s="523">
        <f>$B$56/$B$159</f>
        <v>1.1111111111111112E-2</v>
      </c>
      <c r="E143" s="325"/>
      <c r="F143" s="381"/>
      <c r="G143" s="375"/>
      <c r="H143" s="368"/>
    </row>
    <row r="144" spans="1:11" ht="18.75" x14ac:dyDescent="0.3">
      <c r="A144" s="325"/>
      <c r="B144" s="325"/>
      <c r="C144" s="383" t="s">
        <v>85</v>
      </c>
      <c r="D144" s="382">
        <f>D143*$B$141</f>
        <v>11.111111111111111</v>
      </c>
      <c r="E144" s="325"/>
      <c r="F144" s="381"/>
      <c r="G144" s="369"/>
      <c r="H144" s="368"/>
    </row>
    <row r="145" spans="1:9" ht="19.5" customHeight="1" thickBot="1" x14ac:dyDescent="0.35">
      <c r="A145" s="325"/>
      <c r="B145" s="325"/>
      <c r="C145" s="380" t="s">
        <v>86</v>
      </c>
      <c r="D145" s="379">
        <f>D144/B130</f>
        <v>12.823503235032348</v>
      </c>
      <c r="E145" s="325"/>
      <c r="F145" s="370"/>
      <c r="G145" s="369"/>
      <c r="H145" s="368"/>
      <c r="I145" s="378"/>
    </row>
    <row r="146" spans="1:9" ht="18.75" x14ac:dyDescent="0.3">
      <c r="A146" s="325"/>
      <c r="B146" s="325"/>
      <c r="C146" s="377" t="s">
        <v>121</v>
      </c>
      <c r="D146" s="376">
        <f>AVERAGE(E134:E137,G134:G137)</f>
        <v>0.39240063622810678</v>
      </c>
      <c r="E146" s="325"/>
      <c r="F146" s="370"/>
      <c r="G146" s="375"/>
      <c r="H146" s="368"/>
      <c r="I146" s="336"/>
    </row>
    <row r="147" spans="1:9" ht="18.75" x14ac:dyDescent="0.3">
      <c r="A147" s="325"/>
      <c r="B147" s="325"/>
      <c r="C147" s="374" t="s">
        <v>88</v>
      </c>
      <c r="D147" s="373">
        <f>STDEV(E134:E137,G134:G137)/D146</f>
        <v>9.9492158722308387E-3</v>
      </c>
      <c r="E147" s="325"/>
      <c r="F147" s="370"/>
      <c r="G147" s="369"/>
      <c r="H147" s="368"/>
      <c r="I147" s="336"/>
    </row>
    <row r="148" spans="1:9" ht="19.5" customHeight="1" thickBot="1" x14ac:dyDescent="0.35">
      <c r="A148" s="325"/>
      <c r="B148" s="325"/>
      <c r="C148" s="372" t="s">
        <v>20</v>
      </c>
      <c r="D148" s="371">
        <f>COUNT(E134:E137,G134:G137)</f>
        <v>6</v>
      </c>
      <c r="E148" s="325"/>
      <c r="F148" s="370"/>
      <c r="G148" s="369"/>
      <c r="H148" s="368"/>
      <c r="I148" s="336"/>
    </row>
    <row r="149" spans="1:9" ht="19.5" customHeight="1" thickBot="1" x14ac:dyDescent="0.35">
      <c r="A149" s="367"/>
      <c r="B149" s="367"/>
      <c r="C149" s="367"/>
      <c r="D149" s="367"/>
      <c r="E149" s="367"/>
      <c r="F149" s="325"/>
      <c r="G149" s="325"/>
      <c r="H149" s="325"/>
    </row>
    <row r="150" spans="1:9" ht="17.25" customHeight="1" x14ac:dyDescent="0.3">
      <c r="A150" s="366" t="s">
        <v>122</v>
      </c>
      <c r="B150" s="365">
        <v>900</v>
      </c>
      <c r="C150" s="364" t="s">
        <v>41</v>
      </c>
      <c r="D150" s="363" t="s">
        <v>67</v>
      </c>
      <c r="E150" s="362" t="s">
        <v>124</v>
      </c>
      <c r="F150" s="361" t="s">
        <v>125</v>
      </c>
      <c r="G150" s="325"/>
      <c r="H150" s="325"/>
    </row>
    <row r="151" spans="1:9" ht="26.25" customHeight="1" x14ac:dyDescent="0.3">
      <c r="A151" s="330" t="s">
        <v>126</v>
      </c>
      <c r="B151" s="349">
        <v>5</v>
      </c>
      <c r="C151" s="348">
        <v>1</v>
      </c>
      <c r="D151" s="360">
        <v>0.371</v>
      </c>
      <c r="E151" s="359">
        <f>IF(ISBLANK(D151),"-",D151/$D$146*$D$143*$B$159)</f>
        <v>94.546227948604454</v>
      </c>
      <c r="F151" s="358">
        <f>IF(ISBLANK(D151), "-", E151/$B$56)</f>
        <v>0.94546227948604455</v>
      </c>
      <c r="G151" s="639" t="s">
        <v>156</v>
      </c>
      <c r="H151" s="640"/>
    </row>
    <row r="152" spans="1:9" ht="26.25" customHeight="1" x14ac:dyDescent="0.3">
      <c r="A152" s="330" t="s">
        <v>99</v>
      </c>
      <c r="B152" s="349">
        <v>50</v>
      </c>
      <c r="C152" s="348">
        <v>2</v>
      </c>
      <c r="D152" s="357">
        <v>0.38300000000000001</v>
      </c>
      <c r="E152" s="356">
        <f>IF(ISBLANK(D152),"-",D152/$D$146*$D$143*$B$159)</f>
        <v>97.604326965810003</v>
      </c>
      <c r="F152" s="355">
        <f t="shared" ref="F151:F156" si="3">IF(ISBLANK(D152), "-", E152/$B$56)</f>
        <v>0.97604326965810007</v>
      </c>
      <c r="G152" s="639"/>
      <c r="H152" s="640"/>
    </row>
    <row r="153" spans="1:9" ht="26.25" customHeight="1" x14ac:dyDescent="0.3">
      <c r="A153" s="330" t="s">
        <v>100</v>
      </c>
      <c r="B153" s="349">
        <v>1</v>
      </c>
      <c r="C153" s="348">
        <v>3</v>
      </c>
      <c r="D153" s="357">
        <v>0.379</v>
      </c>
      <c r="E153" s="356">
        <f t="shared" ref="E151:E156" si="4">IF(ISBLANK(D153),"-",D153/$D$146*$D$143*$B$159)</f>
        <v>96.584960626741477</v>
      </c>
      <c r="F153" s="355">
        <f t="shared" si="3"/>
        <v>0.96584960626741478</v>
      </c>
      <c r="G153" s="639"/>
      <c r="H153" s="640"/>
    </row>
    <row r="154" spans="1:9" ht="26.25" customHeight="1" x14ac:dyDescent="0.3">
      <c r="A154" s="330" t="s">
        <v>101</v>
      </c>
      <c r="B154" s="349">
        <v>1</v>
      </c>
      <c r="C154" s="348">
        <v>4</v>
      </c>
      <c r="D154" s="520">
        <v>0.38</v>
      </c>
      <c r="E154" s="356">
        <f t="shared" si="4"/>
        <v>96.839802211508612</v>
      </c>
      <c r="F154" s="355">
        <f t="shared" si="3"/>
        <v>0.96839802211508608</v>
      </c>
      <c r="G154" s="639"/>
      <c r="H154" s="640"/>
    </row>
    <row r="155" spans="1:9" ht="26.25" customHeight="1" x14ac:dyDescent="0.3">
      <c r="A155" s="330" t="s">
        <v>102</v>
      </c>
      <c r="B155" s="349">
        <v>1</v>
      </c>
      <c r="C155" s="348">
        <v>5</v>
      </c>
      <c r="D155" s="357">
        <v>0.38200000000000001</v>
      </c>
      <c r="E155" s="356">
        <f t="shared" si="4"/>
        <v>97.349485381042868</v>
      </c>
      <c r="F155" s="355">
        <f t="shared" si="3"/>
        <v>0.97349485381042866</v>
      </c>
      <c r="G155" s="639"/>
      <c r="H155" s="640"/>
    </row>
    <row r="156" spans="1:9" ht="26.25" customHeight="1" x14ac:dyDescent="0.3">
      <c r="A156" s="330" t="s">
        <v>104</v>
      </c>
      <c r="B156" s="349">
        <v>1</v>
      </c>
      <c r="C156" s="354">
        <v>6</v>
      </c>
      <c r="D156" s="353">
        <v>0.38600000000000001</v>
      </c>
      <c r="E156" s="352">
        <f t="shared" si="4"/>
        <v>98.368851720111394</v>
      </c>
      <c r="F156" s="351">
        <f t="shared" si="3"/>
        <v>0.98368851720111394</v>
      </c>
      <c r="G156" s="639"/>
      <c r="H156" s="640"/>
    </row>
    <row r="157" spans="1:9" ht="26.25" customHeight="1" x14ac:dyDescent="0.3">
      <c r="A157" s="330" t="s">
        <v>105</v>
      </c>
      <c r="B157" s="349">
        <v>1</v>
      </c>
      <c r="C157" s="348"/>
      <c r="D157" s="326"/>
      <c r="E157" s="325"/>
      <c r="F157" s="350"/>
      <c r="G157" s="325"/>
      <c r="H157" s="325"/>
    </row>
    <row r="158" spans="1:9" ht="26.25" customHeight="1" x14ac:dyDescent="0.4">
      <c r="A158" s="330" t="s">
        <v>106</v>
      </c>
      <c r="B158" s="349">
        <v>1</v>
      </c>
      <c r="C158" s="348"/>
      <c r="D158" s="347"/>
      <c r="E158" s="346" t="s">
        <v>75</v>
      </c>
      <c r="F158" s="345">
        <f>AVERAGE(F151:F156)</f>
        <v>0.96882275808969809</v>
      </c>
      <c r="G158" s="325"/>
      <c r="H158" s="325"/>
    </row>
    <row r="159" spans="1:9" ht="27" customHeight="1" thickBot="1" x14ac:dyDescent="0.45">
      <c r="A159" s="330" t="s">
        <v>107</v>
      </c>
      <c r="B159" s="344">
        <f>(B158/B157)*(B156/B155)*(B154/B153)*(B152/B151)*B150</f>
        <v>9000</v>
      </c>
      <c r="C159" s="343"/>
      <c r="D159" s="325"/>
      <c r="E159" s="342" t="s">
        <v>88</v>
      </c>
      <c r="F159" s="341">
        <f>STDEV(F151:F156)/F158</f>
        <v>1.3455510086122649E-2</v>
      </c>
      <c r="G159" s="325"/>
      <c r="H159" s="325"/>
    </row>
    <row r="160" spans="1:9" ht="27" customHeight="1" thickBot="1" x14ac:dyDescent="0.45">
      <c r="A160" s="591" t="s">
        <v>82</v>
      </c>
      <c r="B160" s="592"/>
      <c r="C160" s="340"/>
      <c r="D160" s="339"/>
      <c r="E160" s="338" t="s">
        <v>20</v>
      </c>
      <c r="F160" s="337">
        <f>COUNT(F151:F156)</f>
        <v>6</v>
      </c>
      <c r="G160" s="325"/>
      <c r="H160" s="325"/>
      <c r="I160" s="336"/>
    </row>
    <row r="161" spans="1:8" ht="19.5" customHeight="1" thickBot="1" x14ac:dyDescent="0.35">
      <c r="A161" s="593"/>
      <c r="B161" s="594"/>
      <c r="C161" s="325"/>
      <c r="D161" s="325"/>
      <c r="E161" s="325"/>
      <c r="F161" s="326"/>
      <c r="G161" s="325"/>
      <c r="H161" s="325"/>
    </row>
    <row r="162" spans="1:8" ht="18.75" x14ac:dyDescent="0.3">
      <c r="A162" s="333"/>
      <c r="B162" s="333"/>
      <c r="C162" s="325"/>
      <c r="D162" s="325"/>
      <c r="E162" s="325"/>
      <c r="F162" s="326"/>
      <c r="G162" s="325"/>
      <c r="H162" s="325"/>
    </row>
    <row r="163" spans="1:8" ht="18.75" x14ac:dyDescent="0.3">
      <c r="A163" s="335" t="s">
        <v>140</v>
      </c>
      <c r="B163" s="334" t="s">
        <v>139</v>
      </c>
      <c r="C163" s="325"/>
      <c r="D163" s="325"/>
      <c r="E163" s="325"/>
      <c r="F163" s="326"/>
      <c r="G163" s="325"/>
      <c r="H163" s="325"/>
    </row>
    <row r="164" spans="1:8" ht="19.5" customHeight="1" thickBot="1" x14ac:dyDescent="0.35">
      <c r="A164" s="333"/>
      <c r="B164" s="333"/>
      <c r="C164" s="325"/>
      <c r="D164" s="325"/>
      <c r="E164" s="325"/>
      <c r="F164" s="326"/>
      <c r="G164" s="325"/>
      <c r="H164" s="325"/>
    </row>
    <row r="165" spans="1:8" ht="26.25" customHeight="1" x14ac:dyDescent="0.4">
      <c r="A165" s="332" t="s">
        <v>75</v>
      </c>
      <c r="B165" s="331">
        <f>AVERAGE(F108:F113,F151:F156)</f>
        <v>1.0221271229034889</v>
      </c>
      <c r="C165" s="325"/>
      <c r="D165" s="325"/>
      <c r="E165" s="325"/>
      <c r="F165" s="326"/>
      <c r="G165" s="325"/>
      <c r="H165" s="325"/>
    </row>
    <row r="166" spans="1:8" ht="26.25" customHeight="1" x14ac:dyDescent="0.4">
      <c r="A166" s="330" t="s">
        <v>88</v>
      </c>
      <c r="B166" s="329">
        <f>STDEV(F108:F113,F151:F156)/B165</f>
        <v>5.6098907204198939E-2</v>
      </c>
      <c r="C166" s="325"/>
      <c r="D166" s="325"/>
      <c r="E166" s="325"/>
      <c r="F166" s="326"/>
      <c r="G166" s="325"/>
      <c r="H166" s="325"/>
    </row>
    <row r="167" spans="1:8" ht="27" customHeight="1" thickBot="1" x14ac:dyDescent="0.45">
      <c r="A167" s="328" t="s">
        <v>20</v>
      </c>
      <c r="B167" s="327">
        <f>COUNT(F108:F113,F151:F156)</f>
        <v>12</v>
      </c>
      <c r="C167" s="325"/>
      <c r="D167" s="325"/>
      <c r="E167" s="325"/>
      <c r="F167" s="326"/>
      <c r="G167" s="325"/>
      <c r="H167" s="325"/>
    </row>
    <row r="168" spans="1:8" ht="26.25" customHeight="1" x14ac:dyDescent="0.3">
      <c r="A168" s="316" t="s">
        <v>138</v>
      </c>
      <c r="B168" s="324" t="s">
        <v>158</v>
      </c>
      <c r="C168" s="625" t="str">
        <f>B20</f>
        <v>DOXYCYCLINE as Doxycycline Hyclate</v>
      </c>
      <c r="D168" s="625"/>
      <c r="E168" s="314" t="s">
        <v>131</v>
      </c>
      <c r="F168" s="314"/>
      <c r="G168" s="323">
        <f>B165</f>
        <v>1.0221271229034889</v>
      </c>
      <c r="H168" s="314"/>
    </row>
    <row r="169" spans="1:8" ht="19.5" customHeight="1" thickBot="1" x14ac:dyDescent="0.35">
      <c r="A169" s="322"/>
      <c r="B169" s="322"/>
      <c r="C169" s="321"/>
      <c r="D169" s="321"/>
      <c r="E169" s="321"/>
      <c r="F169" s="321"/>
      <c r="G169" s="321"/>
      <c r="H169" s="321"/>
    </row>
    <row r="170" spans="1:8" ht="18.75" x14ac:dyDescent="0.3">
      <c r="A170" s="534"/>
      <c r="B170" s="615" t="s">
        <v>26</v>
      </c>
      <c r="C170" s="615"/>
      <c r="D170" s="531"/>
      <c r="E170" s="320" t="s">
        <v>27</v>
      </c>
      <c r="F170" s="319"/>
      <c r="G170" s="615" t="s">
        <v>28</v>
      </c>
      <c r="H170" s="615"/>
    </row>
    <row r="171" spans="1:8" ht="83.25" customHeight="1" x14ac:dyDescent="0.3">
      <c r="A171" s="316" t="s">
        <v>29</v>
      </c>
      <c r="B171" s="318" t="s">
        <v>159</v>
      </c>
      <c r="C171" s="318"/>
      <c r="D171" s="531"/>
      <c r="E171" s="317"/>
      <c r="F171" s="314"/>
      <c r="G171" s="317" t="s">
        <v>161</v>
      </c>
      <c r="H171" s="317"/>
    </row>
    <row r="172" spans="1:8" ht="84" customHeight="1" x14ac:dyDescent="0.3">
      <c r="A172" s="316" t="s">
        <v>30</v>
      </c>
      <c r="B172" s="315" t="s">
        <v>160</v>
      </c>
      <c r="C172" s="315"/>
      <c r="D172" s="531"/>
      <c r="E172" s="691">
        <v>42942</v>
      </c>
      <c r="F172" s="314"/>
      <c r="G172" s="313" t="s">
        <v>162</v>
      </c>
      <c r="H172" s="313"/>
    </row>
    <row r="173" spans="1:8" ht="18.75" x14ac:dyDescent="0.3">
      <c r="A173" s="311"/>
      <c r="B173" s="311"/>
      <c r="C173" s="311"/>
      <c r="D173" s="311"/>
      <c r="E173" s="311"/>
      <c r="F173" s="312"/>
      <c r="G173" s="311"/>
      <c r="H173" s="311"/>
    </row>
    <row r="174" spans="1:8" ht="18.75" x14ac:dyDescent="0.3">
      <c r="A174" s="311"/>
      <c r="B174" s="311"/>
      <c r="C174" s="311"/>
      <c r="D174" s="311"/>
      <c r="E174" s="311"/>
      <c r="F174" s="312"/>
      <c r="G174" s="311"/>
      <c r="H174" s="311"/>
    </row>
    <row r="175" spans="1:8" ht="18.75" x14ac:dyDescent="0.3">
      <c r="A175" s="311"/>
      <c r="B175" s="311"/>
      <c r="C175" s="311"/>
      <c r="D175" s="311"/>
      <c r="E175" s="311"/>
      <c r="F175" s="312"/>
      <c r="G175" s="311"/>
      <c r="H175" s="311"/>
    </row>
    <row r="176" spans="1:8" ht="18.75" x14ac:dyDescent="0.3">
      <c r="A176" s="311"/>
      <c r="B176" s="311"/>
      <c r="C176" s="311"/>
      <c r="D176" s="311"/>
      <c r="E176" s="311"/>
      <c r="F176" s="312"/>
      <c r="G176" s="311"/>
      <c r="H176" s="311"/>
    </row>
    <row r="177" spans="1:8" ht="18.75" x14ac:dyDescent="0.3">
      <c r="A177" s="311"/>
      <c r="B177" s="311"/>
      <c r="C177" s="311"/>
      <c r="D177" s="311"/>
      <c r="E177" s="311"/>
      <c r="F177" s="312"/>
      <c r="G177" s="311"/>
      <c r="H177" s="311"/>
    </row>
    <row r="178" spans="1:8" ht="18.75" x14ac:dyDescent="0.3">
      <c r="A178" s="311"/>
      <c r="B178" s="311"/>
      <c r="C178" s="311"/>
      <c r="D178" s="311"/>
      <c r="E178" s="311"/>
      <c r="F178" s="312"/>
      <c r="G178" s="311"/>
      <c r="H178" s="311"/>
    </row>
    <row r="179" spans="1:8" ht="18.75" x14ac:dyDescent="0.3">
      <c r="A179" s="311"/>
      <c r="B179" s="311"/>
      <c r="C179" s="311"/>
      <c r="D179" s="311"/>
      <c r="E179" s="311"/>
      <c r="F179" s="312"/>
      <c r="G179" s="311"/>
      <c r="H179" s="311"/>
    </row>
    <row r="180" spans="1:8" ht="18.75" x14ac:dyDescent="0.3">
      <c r="A180" s="311"/>
      <c r="B180" s="311"/>
      <c r="C180" s="311"/>
      <c r="D180" s="311"/>
      <c r="E180" s="311"/>
      <c r="F180" s="312"/>
      <c r="G180" s="311"/>
      <c r="H180" s="311"/>
    </row>
    <row r="181" spans="1:8" ht="18.75" x14ac:dyDescent="0.3">
      <c r="A181" s="555"/>
      <c r="B181" s="555"/>
      <c r="C181" s="555"/>
      <c r="D181" s="555"/>
      <c r="E181" s="555"/>
      <c r="F181" s="556"/>
      <c r="G181" s="555"/>
      <c r="H181" s="555"/>
    </row>
    <row r="182" spans="1:8" x14ac:dyDescent="0.3">
      <c r="A182" s="529"/>
      <c r="B182" s="529"/>
      <c r="C182" s="529"/>
      <c r="D182" s="529"/>
      <c r="E182" s="529"/>
      <c r="F182" s="529"/>
      <c r="G182" s="529"/>
      <c r="H182" s="529"/>
    </row>
    <row r="183" spans="1:8" x14ac:dyDescent="0.3">
      <c r="A183" s="529"/>
      <c r="B183" s="529"/>
      <c r="C183" s="529"/>
      <c r="D183" s="529"/>
      <c r="E183" s="529"/>
      <c r="F183" s="529"/>
      <c r="G183" s="529"/>
      <c r="H183" s="529"/>
    </row>
    <row r="184" spans="1:8" x14ac:dyDescent="0.3">
      <c r="A184" s="529"/>
      <c r="B184" s="529"/>
      <c r="C184" s="529"/>
      <c r="D184" s="529"/>
      <c r="E184" s="529"/>
      <c r="F184" s="529"/>
      <c r="G184" s="529"/>
      <c r="H184" s="529"/>
    </row>
    <row r="185" spans="1:8" x14ac:dyDescent="0.3">
      <c r="A185" s="529"/>
      <c r="B185" s="529"/>
      <c r="C185" s="529"/>
      <c r="D185" s="529"/>
      <c r="E185" s="529"/>
      <c r="F185" s="529"/>
      <c r="G185" s="529"/>
      <c r="H185" s="529"/>
    </row>
    <row r="186" spans="1:8" x14ac:dyDescent="0.3">
      <c r="A186" s="529"/>
      <c r="B186" s="529"/>
      <c r="C186" s="529"/>
      <c r="D186" s="529"/>
      <c r="E186" s="529"/>
      <c r="F186" s="529"/>
      <c r="G186" s="529"/>
      <c r="H186" s="529"/>
    </row>
    <row r="187" spans="1:8" x14ac:dyDescent="0.3">
      <c r="A187" s="529"/>
      <c r="B187" s="529"/>
      <c r="C187" s="529"/>
      <c r="D187" s="529"/>
      <c r="E187" s="529"/>
      <c r="F187" s="529"/>
      <c r="G187" s="529"/>
      <c r="H187" s="529"/>
    </row>
    <row r="188" spans="1:8" x14ac:dyDescent="0.3">
      <c r="A188" s="529"/>
      <c r="B188" s="529"/>
      <c r="C188" s="529"/>
      <c r="D188" s="529"/>
      <c r="E188" s="529"/>
      <c r="F188" s="529"/>
      <c r="G188" s="529"/>
      <c r="H188" s="529"/>
    </row>
    <row r="189" spans="1:8" x14ac:dyDescent="0.3">
      <c r="A189" s="529"/>
      <c r="B189" s="529"/>
      <c r="C189" s="529"/>
      <c r="D189" s="529"/>
      <c r="E189" s="529"/>
      <c r="F189" s="529"/>
      <c r="G189" s="529"/>
      <c r="H189" s="529"/>
    </row>
    <row r="190" spans="1:8" x14ac:dyDescent="0.3">
      <c r="A190" s="529"/>
      <c r="B190" s="529"/>
      <c r="C190" s="529"/>
      <c r="D190" s="529"/>
      <c r="E190" s="529"/>
      <c r="F190" s="529"/>
      <c r="G190" s="529"/>
      <c r="H190" s="529"/>
    </row>
    <row r="191" spans="1:8" x14ac:dyDescent="0.3">
      <c r="A191" s="529"/>
      <c r="B191" s="529"/>
      <c r="C191" s="529"/>
      <c r="D191" s="529"/>
      <c r="E191" s="529"/>
      <c r="F191" s="529"/>
      <c r="G191" s="529"/>
      <c r="H191" s="529"/>
    </row>
    <row r="192" spans="1:8" x14ac:dyDescent="0.3">
      <c r="A192" s="529"/>
      <c r="B192" s="529"/>
      <c r="C192" s="529"/>
      <c r="D192" s="529"/>
      <c r="E192" s="529"/>
      <c r="F192" s="529"/>
      <c r="G192" s="529"/>
      <c r="H192" s="529"/>
    </row>
    <row r="193" spans="1:8" x14ac:dyDescent="0.3">
      <c r="A193" s="529"/>
      <c r="B193" s="529"/>
      <c r="C193" s="529"/>
      <c r="D193" s="529"/>
      <c r="E193" s="529"/>
      <c r="F193" s="529"/>
      <c r="G193" s="529"/>
      <c r="H193" s="529"/>
    </row>
    <row r="194" spans="1:8" x14ac:dyDescent="0.3">
      <c r="A194" s="529"/>
      <c r="B194" s="529"/>
      <c r="C194" s="529"/>
      <c r="D194" s="529"/>
      <c r="E194" s="529"/>
      <c r="F194" s="529"/>
      <c r="G194" s="529"/>
      <c r="H194" s="529"/>
    </row>
    <row r="195" spans="1:8" x14ac:dyDescent="0.3">
      <c r="A195" s="529"/>
      <c r="B195" s="529"/>
      <c r="C195" s="529"/>
      <c r="D195" s="529"/>
      <c r="E195" s="529"/>
      <c r="F195" s="529"/>
      <c r="G195" s="529"/>
      <c r="H195" s="529"/>
    </row>
    <row r="196" spans="1:8" x14ac:dyDescent="0.3">
      <c r="A196" s="529"/>
      <c r="B196" s="529"/>
      <c r="C196" s="529"/>
      <c r="D196" s="529"/>
      <c r="E196" s="529"/>
      <c r="F196" s="529"/>
      <c r="G196" s="529"/>
      <c r="H196" s="529"/>
    </row>
    <row r="197" spans="1:8" x14ac:dyDescent="0.3">
      <c r="A197" s="529"/>
      <c r="B197" s="529"/>
      <c r="C197" s="529"/>
      <c r="D197" s="529"/>
      <c r="E197" s="529"/>
      <c r="F197" s="529"/>
      <c r="G197" s="529"/>
      <c r="H197" s="529"/>
    </row>
    <row r="198" spans="1:8" x14ac:dyDescent="0.3">
      <c r="A198" s="529"/>
      <c r="B198" s="529"/>
      <c r="C198" s="529"/>
      <c r="D198" s="529"/>
      <c r="E198" s="529"/>
      <c r="F198" s="529"/>
      <c r="G198" s="529"/>
      <c r="H198" s="529"/>
    </row>
    <row r="199" spans="1:8" x14ac:dyDescent="0.3">
      <c r="A199" s="529"/>
      <c r="B199" s="529"/>
      <c r="C199" s="529"/>
      <c r="D199" s="529"/>
      <c r="E199" s="529"/>
      <c r="F199" s="529"/>
      <c r="G199" s="529"/>
      <c r="H199" s="529"/>
    </row>
    <row r="200" spans="1:8" x14ac:dyDescent="0.3">
      <c r="A200" s="529"/>
      <c r="B200" s="529"/>
      <c r="C200" s="529"/>
      <c r="D200" s="529"/>
      <c r="E200" s="529"/>
      <c r="F200" s="529"/>
      <c r="G200" s="529"/>
      <c r="H200" s="529"/>
    </row>
    <row r="201" spans="1:8" x14ac:dyDescent="0.3">
      <c r="A201" s="529"/>
      <c r="B201" s="529"/>
      <c r="C201" s="529"/>
      <c r="D201" s="529"/>
      <c r="E201" s="529"/>
      <c r="F201" s="529"/>
      <c r="G201" s="529"/>
      <c r="H201" s="529"/>
    </row>
    <row r="202" spans="1:8" x14ac:dyDescent="0.3">
      <c r="A202" s="529"/>
      <c r="B202" s="529"/>
      <c r="C202" s="529"/>
      <c r="D202" s="529"/>
      <c r="E202" s="529"/>
      <c r="F202" s="529"/>
      <c r="G202" s="529"/>
      <c r="H202" s="529"/>
    </row>
    <row r="203" spans="1:8" x14ac:dyDescent="0.3">
      <c r="A203" s="529"/>
      <c r="B203" s="529"/>
      <c r="C203" s="529"/>
      <c r="D203" s="529"/>
      <c r="E203" s="529"/>
      <c r="F203" s="529"/>
      <c r="G203" s="529"/>
      <c r="H203" s="529"/>
    </row>
    <row r="204" spans="1:8" x14ac:dyDescent="0.3">
      <c r="A204" s="529"/>
      <c r="B204" s="529"/>
      <c r="C204" s="529"/>
      <c r="D204" s="529"/>
      <c r="E204" s="529"/>
      <c r="F204" s="529"/>
      <c r="G204" s="529"/>
      <c r="H204" s="529"/>
    </row>
    <row r="205" spans="1:8" x14ac:dyDescent="0.3">
      <c r="A205" s="529"/>
      <c r="B205" s="529"/>
      <c r="C205" s="529"/>
      <c r="D205" s="529"/>
      <c r="E205" s="529"/>
      <c r="F205" s="529"/>
      <c r="G205" s="529"/>
      <c r="H205" s="529"/>
    </row>
    <row r="206" spans="1:8" x14ac:dyDescent="0.3">
      <c r="A206" s="529"/>
      <c r="B206" s="529"/>
      <c r="C206" s="529"/>
      <c r="D206" s="529"/>
      <c r="E206" s="529"/>
      <c r="F206" s="529"/>
      <c r="G206" s="529"/>
      <c r="H206" s="529"/>
    </row>
    <row r="207" spans="1:8" x14ac:dyDescent="0.3">
      <c r="A207" s="529"/>
      <c r="B207" s="529"/>
      <c r="C207" s="529"/>
      <c r="D207" s="529"/>
      <c r="E207" s="529"/>
      <c r="F207" s="529"/>
      <c r="G207" s="529"/>
      <c r="H207" s="529"/>
    </row>
    <row r="208" spans="1:8" x14ac:dyDescent="0.3">
      <c r="A208" s="529"/>
      <c r="B208" s="529"/>
      <c r="C208" s="529"/>
      <c r="D208" s="529"/>
      <c r="E208" s="529"/>
      <c r="F208" s="529"/>
      <c r="G208" s="529"/>
      <c r="H208" s="529"/>
    </row>
    <row r="209" spans="1:8" x14ac:dyDescent="0.3">
      <c r="A209" s="529"/>
      <c r="B209" s="529"/>
      <c r="C209" s="529"/>
      <c r="D209" s="529"/>
      <c r="E209" s="529"/>
      <c r="F209" s="529"/>
      <c r="G209" s="529"/>
      <c r="H209" s="529"/>
    </row>
    <row r="210" spans="1:8" x14ac:dyDescent="0.3">
      <c r="A210" s="529"/>
      <c r="B210" s="529"/>
      <c r="C210" s="529"/>
      <c r="D210" s="529"/>
      <c r="E210" s="529"/>
      <c r="F210" s="529"/>
      <c r="G210" s="529"/>
      <c r="H210" s="529"/>
    </row>
    <row r="211" spans="1:8" x14ac:dyDescent="0.3">
      <c r="A211" s="529"/>
      <c r="B211" s="529"/>
      <c r="C211" s="529"/>
      <c r="D211" s="529"/>
      <c r="E211" s="529"/>
      <c r="F211" s="529"/>
      <c r="G211" s="529"/>
      <c r="H211" s="529"/>
    </row>
    <row r="212" spans="1:8" x14ac:dyDescent="0.3">
      <c r="A212" s="529"/>
      <c r="B212" s="529"/>
      <c r="C212" s="529"/>
      <c r="D212" s="529"/>
      <c r="E212" s="529"/>
      <c r="F212" s="529"/>
      <c r="G212" s="529"/>
      <c r="H212" s="529"/>
    </row>
    <row r="213" spans="1:8" x14ac:dyDescent="0.3">
      <c r="A213" s="529"/>
      <c r="B213" s="529"/>
      <c r="C213" s="529"/>
      <c r="D213" s="529"/>
      <c r="E213" s="529"/>
      <c r="F213" s="529"/>
      <c r="G213" s="529"/>
      <c r="H213" s="529"/>
    </row>
    <row r="214" spans="1:8" x14ac:dyDescent="0.3">
      <c r="A214" s="529"/>
      <c r="B214" s="529"/>
      <c r="C214" s="529"/>
      <c r="D214" s="529"/>
      <c r="E214" s="529"/>
      <c r="F214" s="529"/>
      <c r="G214" s="529"/>
      <c r="H214" s="529"/>
    </row>
    <row r="215" spans="1:8" x14ac:dyDescent="0.3">
      <c r="A215" s="529"/>
      <c r="B215" s="529"/>
      <c r="C215" s="529"/>
      <c r="D215" s="529"/>
      <c r="E215" s="529"/>
      <c r="F215" s="529"/>
      <c r="G215" s="529"/>
      <c r="H215" s="529"/>
    </row>
    <row r="216" spans="1:8" x14ac:dyDescent="0.3">
      <c r="A216" s="529"/>
      <c r="B216" s="529"/>
      <c r="C216" s="529"/>
      <c r="D216" s="529"/>
      <c r="E216" s="529"/>
      <c r="F216" s="529"/>
      <c r="G216" s="529"/>
      <c r="H216" s="529"/>
    </row>
    <row r="217" spans="1:8" x14ac:dyDescent="0.3">
      <c r="A217" s="529"/>
      <c r="B217" s="529"/>
      <c r="C217" s="529"/>
      <c r="D217" s="529"/>
      <c r="E217" s="529"/>
      <c r="F217" s="529"/>
      <c r="G217" s="529"/>
      <c r="H217" s="529"/>
    </row>
    <row r="218" spans="1:8" x14ac:dyDescent="0.3">
      <c r="A218" s="529"/>
      <c r="B218" s="529"/>
      <c r="C218" s="529"/>
      <c r="D218" s="529"/>
      <c r="E218" s="529"/>
      <c r="F218" s="529"/>
      <c r="G218" s="529"/>
      <c r="H218" s="529"/>
    </row>
    <row r="219" spans="1:8" x14ac:dyDescent="0.3">
      <c r="A219" s="529"/>
      <c r="B219" s="529"/>
      <c r="C219" s="529"/>
      <c r="D219" s="529"/>
      <c r="E219" s="529"/>
      <c r="F219" s="529"/>
      <c r="G219" s="529"/>
      <c r="H219" s="529"/>
    </row>
    <row r="220" spans="1:8" x14ac:dyDescent="0.3">
      <c r="A220" s="529"/>
      <c r="B220" s="529"/>
      <c r="C220" s="529"/>
      <c r="D220" s="529"/>
      <c r="E220" s="529"/>
      <c r="F220" s="529"/>
      <c r="G220" s="529"/>
      <c r="H220" s="529"/>
    </row>
    <row r="221" spans="1:8" x14ac:dyDescent="0.3">
      <c r="A221" s="529"/>
      <c r="B221" s="529"/>
      <c r="C221" s="529"/>
      <c r="D221" s="529"/>
      <c r="E221" s="529"/>
      <c r="F221" s="529"/>
      <c r="G221" s="529"/>
      <c r="H221" s="529"/>
    </row>
    <row r="222" spans="1:8" x14ac:dyDescent="0.3">
      <c r="A222" s="529"/>
      <c r="B222" s="529"/>
      <c r="C222" s="529"/>
      <c r="D222" s="529"/>
      <c r="E222" s="529"/>
      <c r="F222" s="529"/>
      <c r="G222" s="529"/>
      <c r="H222" s="529"/>
    </row>
    <row r="223" spans="1:8" x14ac:dyDescent="0.3">
      <c r="A223" s="529"/>
      <c r="B223" s="529"/>
      <c r="C223" s="529"/>
      <c r="D223" s="529"/>
      <c r="E223" s="529"/>
      <c r="F223" s="529"/>
      <c r="G223" s="529"/>
      <c r="H223" s="529"/>
    </row>
    <row r="224" spans="1:8" x14ac:dyDescent="0.3">
      <c r="A224" s="529"/>
      <c r="B224" s="529"/>
      <c r="C224" s="529"/>
      <c r="D224" s="529"/>
      <c r="E224" s="529"/>
      <c r="F224" s="529"/>
      <c r="G224" s="529"/>
      <c r="H224" s="529"/>
    </row>
    <row r="225" spans="1:8" x14ac:dyDescent="0.3">
      <c r="A225" s="529"/>
      <c r="B225" s="529"/>
      <c r="C225" s="529"/>
      <c r="D225" s="529"/>
      <c r="E225" s="529"/>
      <c r="F225" s="529"/>
      <c r="G225" s="529"/>
      <c r="H225" s="529"/>
    </row>
    <row r="226" spans="1:8" x14ac:dyDescent="0.3">
      <c r="A226" s="529"/>
      <c r="B226" s="529"/>
      <c r="C226" s="529"/>
      <c r="D226" s="529"/>
      <c r="E226" s="529"/>
      <c r="F226" s="529"/>
      <c r="G226" s="529"/>
      <c r="H226" s="529"/>
    </row>
    <row r="227" spans="1:8" x14ac:dyDescent="0.3">
      <c r="A227" s="529"/>
      <c r="B227" s="529"/>
      <c r="C227" s="529"/>
      <c r="D227" s="529"/>
      <c r="E227" s="529"/>
      <c r="F227" s="529"/>
      <c r="G227" s="529"/>
      <c r="H227" s="529"/>
    </row>
    <row r="228" spans="1:8" x14ac:dyDescent="0.3">
      <c r="A228" s="529"/>
      <c r="B228" s="529"/>
      <c r="C228" s="529"/>
      <c r="D228" s="529"/>
      <c r="E228" s="529"/>
      <c r="F228" s="529"/>
      <c r="G228" s="529"/>
      <c r="H228" s="529"/>
    </row>
    <row r="229" spans="1:8" x14ac:dyDescent="0.3">
      <c r="A229" s="529"/>
      <c r="B229" s="529"/>
      <c r="C229" s="529"/>
      <c r="D229" s="529"/>
      <c r="E229" s="529"/>
      <c r="F229" s="529"/>
      <c r="G229" s="529"/>
      <c r="H229" s="529"/>
    </row>
    <row r="230" spans="1:8" x14ac:dyDescent="0.3">
      <c r="A230" s="529"/>
      <c r="B230" s="529"/>
      <c r="C230" s="529"/>
      <c r="D230" s="529"/>
      <c r="E230" s="529"/>
      <c r="F230" s="529"/>
      <c r="G230" s="529"/>
      <c r="H230" s="529"/>
    </row>
    <row r="231" spans="1:8" x14ac:dyDescent="0.3">
      <c r="A231" s="529"/>
      <c r="B231" s="529"/>
      <c r="C231" s="529"/>
      <c r="D231" s="529"/>
      <c r="E231" s="529"/>
      <c r="F231" s="529"/>
      <c r="G231" s="529"/>
      <c r="H231" s="529"/>
    </row>
    <row r="232" spans="1:8" x14ac:dyDescent="0.3">
      <c r="A232" s="529"/>
      <c r="B232" s="529"/>
      <c r="C232" s="529"/>
      <c r="D232" s="529"/>
      <c r="E232" s="529"/>
      <c r="F232" s="529"/>
      <c r="G232" s="529"/>
      <c r="H232" s="529"/>
    </row>
    <row r="233" spans="1:8" x14ac:dyDescent="0.3">
      <c r="A233" s="529"/>
      <c r="B233" s="529"/>
      <c r="C233" s="529"/>
      <c r="D233" s="529"/>
      <c r="E233" s="529"/>
      <c r="F233" s="529"/>
      <c r="G233" s="529"/>
      <c r="H233" s="529"/>
    </row>
    <row r="234" spans="1:8" x14ac:dyDescent="0.3">
      <c r="A234" s="529"/>
      <c r="B234" s="529"/>
      <c r="C234" s="529"/>
      <c r="D234" s="529"/>
      <c r="E234" s="529"/>
      <c r="F234" s="529"/>
      <c r="G234" s="529"/>
      <c r="H234" s="529"/>
    </row>
    <row r="235" spans="1:8" x14ac:dyDescent="0.3">
      <c r="A235" s="529"/>
      <c r="B235" s="529"/>
      <c r="C235" s="529"/>
      <c r="D235" s="529"/>
      <c r="E235" s="529"/>
      <c r="F235" s="529"/>
      <c r="G235" s="529"/>
      <c r="H235" s="529"/>
    </row>
    <row r="236" spans="1:8" x14ac:dyDescent="0.3">
      <c r="A236" s="529"/>
      <c r="B236" s="529"/>
      <c r="C236" s="529"/>
      <c r="D236" s="529"/>
      <c r="E236" s="529"/>
      <c r="F236" s="529"/>
      <c r="G236" s="529"/>
      <c r="H236" s="529"/>
    </row>
    <row r="237" spans="1:8" x14ac:dyDescent="0.3">
      <c r="A237" s="529"/>
      <c r="B237" s="529"/>
      <c r="C237" s="529"/>
      <c r="D237" s="529"/>
      <c r="E237" s="529"/>
      <c r="F237" s="529"/>
      <c r="G237" s="529"/>
      <c r="H237" s="529"/>
    </row>
    <row r="238" spans="1:8" x14ac:dyDescent="0.3">
      <c r="A238" s="529"/>
      <c r="B238" s="529"/>
      <c r="C238" s="529"/>
      <c r="D238" s="529"/>
      <c r="E238" s="529"/>
      <c r="F238" s="529"/>
      <c r="G238" s="529"/>
      <c r="H238" s="529"/>
    </row>
    <row r="239" spans="1:8" x14ac:dyDescent="0.3">
      <c r="A239" s="529"/>
      <c r="B239" s="529"/>
      <c r="C239" s="529"/>
      <c r="D239" s="529"/>
      <c r="E239" s="529"/>
      <c r="F239" s="529"/>
      <c r="G239" s="529"/>
      <c r="H239" s="529"/>
    </row>
    <row r="240" spans="1:8" x14ac:dyDescent="0.3">
      <c r="A240" s="529"/>
      <c r="B240" s="529"/>
      <c r="C240" s="529"/>
      <c r="D240" s="529"/>
      <c r="E240" s="529"/>
      <c r="F240" s="529"/>
      <c r="G240" s="529"/>
      <c r="H240" s="529"/>
    </row>
    <row r="241" spans="1:8" x14ac:dyDescent="0.3">
      <c r="A241" s="529"/>
      <c r="B241" s="529"/>
      <c r="C241" s="529"/>
      <c r="D241" s="529"/>
      <c r="E241" s="529"/>
      <c r="F241" s="529"/>
      <c r="G241" s="529"/>
      <c r="H241" s="529"/>
    </row>
    <row r="242" spans="1:8" x14ac:dyDescent="0.3">
      <c r="A242" s="529"/>
      <c r="B242" s="529"/>
      <c r="C242" s="529"/>
      <c r="D242" s="529"/>
      <c r="E242" s="529"/>
      <c r="F242" s="529"/>
      <c r="G242" s="529"/>
      <c r="H242" s="529"/>
    </row>
    <row r="243" spans="1:8" x14ac:dyDescent="0.3">
      <c r="A243" s="529"/>
      <c r="B243" s="529"/>
      <c r="C243" s="529"/>
      <c r="D243" s="529"/>
      <c r="E243" s="529"/>
      <c r="F243" s="529"/>
      <c r="G243" s="529"/>
      <c r="H243" s="529"/>
    </row>
    <row r="244" spans="1:8" x14ac:dyDescent="0.3">
      <c r="A244" s="529"/>
      <c r="B244" s="529"/>
      <c r="C244" s="529"/>
      <c r="D244" s="529"/>
      <c r="E244" s="529"/>
      <c r="F244" s="529"/>
      <c r="G244" s="529"/>
      <c r="H244" s="529"/>
    </row>
    <row r="245" spans="1:8" x14ac:dyDescent="0.3">
      <c r="A245" s="529"/>
      <c r="B245" s="529"/>
      <c r="C245" s="529"/>
      <c r="D245" s="529"/>
      <c r="E245" s="529"/>
      <c r="F245" s="529"/>
      <c r="G245" s="529"/>
      <c r="H245" s="529"/>
    </row>
    <row r="246" spans="1:8" x14ac:dyDescent="0.3">
      <c r="A246" s="529"/>
      <c r="B246" s="529"/>
      <c r="C246" s="529"/>
      <c r="D246" s="529"/>
      <c r="E246" s="529"/>
      <c r="F246" s="529"/>
      <c r="G246" s="529"/>
      <c r="H246" s="529"/>
    </row>
    <row r="247" spans="1:8" x14ac:dyDescent="0.3">
      <c r="A247" s="529"/>
      <c r="B247" s="529"/>
      <c r="C247" s="529"/>
      <c r="D247" s="529"/>
      <c r="E247" s="529"/>
      <c r="F247" s="529"/>
      <c r="G247" s="529"/>
      <c r="H247" s="529"/>
    </row>
    <row r="248" spans="1:8" x14ac:dyDescent="0.3">
      <c r="A248" s="529"/>
      <c r="B248" s="529"/>
      <c r="C248" s="529"/>
      <c r="D248" s="529"/>
      <c r="E248" s="529"/>
      <c r="F248" s="529"/>
      <c r="G248" s="529"/>
      <c r="H248" s="529"/>
    </row>
    <row r="249" spans="1:8" x14ac:dyDescent="0.3">
      <c r="A249" s="529"/>
      <c r="B249" s="529"/>
      <c r="C249" s="529"/>
      <c r="D249" s="529"/>
      <c r="E249" s="529"/>
      <c r="F249" s="529"/>
      <c r="G249" s="529"/>
      <c r="H249" s="529"/>
    </row>
    <row r="250" spans="1:8" x14ac:dyDescent="0.3">
      <c r="A250" s="529">
        <v>5</v>
      </c>
      <c r="B250" s="529"/>
      <c r="C250" s="529"/>
      <c r="D250" s="529"/>
      <c r="E250" s="529"/>
      <c r="F250" s="529"/>
      <c r="G250" s="529"/>
      <c r="H250" s="529"/>
    </row>
  </sheetData>
  <sheetProtection formatCells="0" formatColumns="0" formatRows="0"/>
  <mergeCells count="41">
    <mergeCell ref="D132:E132"/>
    <mergeCell ref="C76:D76"/>
    <mergeCell ref="C85:H85"/>
    <mergeCell ref="G151:H156"/>
    <mergeCell ref="C84:H84"/>
    <mergeCell ref="A46:B47"/>
    <mergeCell ref="C82:G82"/>
    <mergeCell ref="C127:H127"/>
    <mergeCell ref="C128:H128"/>
    <mergeCell ref="F89:G89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C125:G125"/>
    <mergeCell ref="F132:G132"/>
    <mergeCell ref="A142:B143"/>
    <mergeCell ref="A160:B161"/>
    <mergeCell ref="C168:D168"/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D64:D67"/>
    <mergeCell ref="D60:D63"/>
    <mergeCell ref="D36:E36"/>
    <mergeCell ref="A70:B71"/>
    <mergeCell ref="G108:H113"/>
    <mergeCell ref="B18:C18"/>
  </mergeCells>
  <conditionalFormatting sqref="D51">
    <cfRule type="cellIs" dxfId="31" priority="1" operator="greaterThan">
      <formula>0.02</formula>
    </cfRule>
  </conditionalFormatting>
  <conditionalFormatting sqref="H73">
    <cfRule type="cellIs" dxfId="30" priority="2" operator="greaterThan">
      <formula>0.02</formula>
    </cfRule>
  </conditionalFormatting>
  <conditionalFormatting sqref="D104">
    <cfRule type="cellIs" dxfId="29" priority="3" operator="greaterThan">
      <formula>0.02</formula>
    </cfRule>
  </conditionalFormatting>
  <printOptions horizontalCentered="1"/>
  <pageMargins left="0.7" right="0.7" top="0.75" bottom="0.75" header="0.3" footer="0.3"/>
  <pageSetup paperSize="9" scale="28" fitToHeight="0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" workbookViewId="0">
      <selection activeCell="B45" sqref="B45:B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1" t="s">
        <v>0</v>
      </c>
      <c r="B15" s="641"/>
      <c r="C15" s="641"/>
      <c r="D15" s="641"/>
      <c r="E15" s="6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24.28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1.214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184620006</v>
      </c>
      <c r="C24" s="18">
        <v>1304</v>
      </c>
      <c r="D24" s="19">
        <v>1</v>
      </c>
      <c r="E24" s="20">
        <v>6.4</v>
      </c>
    </row>
    <row r="25" spans="1:6" ht="16.5" customHeight="1" x14ac:dyDescent="0.3">
      <c r="A25" s="17">
        <v>2</v>
      </c>
      <c r="B25" s="18">
        <v>184897526</v>
      </c>
      <c r="C25" s="18">
        <v>1314.2</v>
      </c>
      <c r="D25" s="19">
        <v>1</v>
      </c>
      <c r="E25" s="19">
        <v>6.4</v>
      </c>
    </row>
    <row r="26" spans="1:6" ht="16.5" customHeight="1" x14ac:dyDescent="0.3">
      <c r="A26" s="17">
        <v>3</v>
      </c>
      <c r="B26" s="18">
        <v>185517134</v>
      </c>
      <c r="C26" s="18">
        <v>1299.7</v>
      </c>
      <c r="D26" s="19">
        <v>1</v>
      </c>
      <c r="E26" s="19">
        <v>6.4</v>
      </c>
    </row>
    <row r="27" spans="1:6" ht="16.5" customHeight="1" x14ac:dyDescent="0.3">
      <c r="A27" s="17">
        <v>4</v>
      </c>
      <c r="B27" s="18">
        <v>184976867</v>
      </c>
      <c r="C27" s="18">
        <v>1302.8</v>
      </c>
      <c r="D27" s="19">
        <v>1</v>
      </c>
      <c r="E27" s="19">
        <v>6.4</v>
      </c>
    </row>
    <row r="28" spans="1:6" ht="16.5" customHeight="1" x14ac:dyDescent="0.3">
      <c r="A28" s="17">
        <v>5</v>
      </c>
      <c r="B28" s="18">
        <v>185151278</v>
      </c>
      <c r="C28" s="18">
        <v>1302</v>
      </c>
      <c r="D28" s="19">
        <v>1</v>
      </c>
      <c r="E28" s="19">
        <v>6.4</v>
      </c>
    </row>
    <row r="29" spans="1:6" ht="16.5" customHeight="1" x14ac:dyDescent="0.3">
      <c r="A29" s="17">
        <v>6</v>
      </c>
      <c r="B29" s="21">
        <v>185701153</v>
      </c>
      <c r="C29" s="21">
        <v>1297.2</v>
      </c>
      <c r="D29" s="22">
        <v>1</v>
      </c>
      <c r="E29" s="22">
        <v>6.4</v>
      </c>
    </row>
    <row r="30" spans="1:6" ht="16.5" customHeight="1" x14ac:dyDescent="0.3">
      <c r="A30" s="23" t="s">
        <v>18</v>
      </c>
      <c r="B30" s="24">
        <f>AVERAGE(B24:B29)</f>
        <v>185143994</v>
      </c>
      <c r="C30" s="25">
        <f>AVERAGE(C24:C29)</f>
        <v>1303.3166666666666</v>
      </c>
      <c r="D30" s="26">
        <f>AVERAGE(D24:D29)</f>
        <v>1</v>
      </c>
      <c r="E30" s="26">
        <f>AVERAGE(E24:E29)</f>
        <v>6.3999999999999995</v>
      </c>
    </row>
    <row r="31" spans="1:6" ht="16.5" customHeight="1" x14ac:dyDescent="0.3">
      <c r="A31" s="27" t="s">
        <v>19</v>
      </c>
      <c r="B31" s="28">
        <f>(STDEV(B24:B29)/B30)</f>
        <v>2.1779021113291878E-3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2" t="s">
        <v>26</v>
      </c>
      <c r="C59" s="6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7" workbookViewId="0">
      <selection activeCell="B44" sqref="B44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645" t="s">
        <v>31</v>
      </c>
      <c r="B8" s="645"/>
      <c r="C8" s="645"/>
      <c r="D8" s="645"/>
      <c r="E8" s="645"/>
      <c r="F8" s="645"/>
      <c r="G8" s="645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646" t="s">
        <v>32</v>
      </c>
      <c r="B10" s="646"/>
      <c r="C10" s="646"/>
      <c r="D10" s="646"/>
      <c r="E10" s="646"/>
      <c r="F10" s="646"/>
      <c r="G10" s="646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643" t="s">
        <v>33</v>
      </c>
      <c r="B11" s="643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643" t="s">
        <v>34</v>
      </c>
      <c r="B12" s="643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643" t="s">
        <v>35</v>
      </c>
      <c r="B13" s="643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643" t="s">
        <v>36</v>
      </c>
      <c r="B14" s="643"/>
      <c r="C14" s="644" t="s">
        <v>11</v>
      </c>
      <c r="D14" s="644"/>
      <c r="E14" s="644"/>
      <c r="F14" s="644"/>
      <c r="G14" s="644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643" t="s">
        <v>37</v>
      </c>
      <c r="B15" s="643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643" t="s">
        <v>38</v>
      </c>
      <c r="B16" s="643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647" t="s">
        <v>1</v>
      </c>
      <c r="B18" s="64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336.07</v>
      </c>
      <c r="C21" s="83">
        <v>61.13</v>
      </c>
      <c r="D21" s="84">
        <f t="shared" ref="D21:D40" si="0">B21-C21</f>
        <v>274.94</v>
      </c>
      <c r="E21" s="85">
        <f t="shared" ref="E21:E40" si="1">(D21-$D$43)/$D$43</f>
        <v>6.4256406286289244E-2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318.70999999999998</v>
      </c>
      <c r="C22" s="88">
        <v>62.09</v>
      </c>
      <c r="D22" s="89">
        <f t="shared" si="0"/>
        <v>256.62</v>
      </c>
      <c r="E22" s="85">
        <f t="shared" si="1"/>
        <v>-6.657892699543342E-3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331.78</v>
      </c>
      <c r="C23" s="88">
        <v>62.45</v>
      </c>
      <c r="D23" s="89">
        <f t="shared" si="0"/>
        <v>269.33</v>
      </c>
      <c r="E23" s="85">
        <f t="shared" si="1"/>
        <v>4.2540837655802244E-2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316.5</v>
      </c>
      <c r="C24" s="88">
        <v>63.61</v>
      </c>
      <c r="D24" s="89">
        <f t="shared" si="0"/>
        <v>252.89</v>
      </c>
      <c r="E24" s="85">
        <f t="shared" si="1"/>
        <v>-2.1096229774715664E-2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322.45999999999998</v>
      </c>
      <c r="C25" s="88">
        <v>62.22</v>
      </c>
      <c r="D25" s="89">
        <f t="shared" si="0"/>
        <v>260.24</v>
      </c>
      <c r="E25" s="85">
        <f t="shared" si="1"/>
        <v>7.3546489122860454E-3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342.6</v>
      </c>
      <c r="C26" s="88">
        <v>63.15</v>
      </c>
      <c r="D26" s="89">
        <f t="shared" si="0"/>
        <v>279.45000000000005</v>
      </c>
      <c r="E26" s="85">
        <f t="shared" si="1"/>
        <v>8.1714020283347566E-2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298.33</v>
      </c>
      <c r="C27" s="88">
        <v>64.69</v>
      </c>
      <c r="D27" s="89">
        <f t="shared" si="0"/>
        <v>233.64</v>
      </c>
      <c r="E27" s="85">
        <f t="shared" si="1"/>
        <v>-9.5610435859719914E-2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337.96</v>
      </c>
      <c r="C28" s="88">
        <v>61.83</v>
      </c>
      <c r="D28" s="89">
        <f t="shared" si="0"/>
        <v>276.13</v>
      </c>
      <c r="E28" s="85">
        <f t="shared" si="1"/>
        <v>6.8862739026089498E-2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313.74</v>
      </c>
      <c r="C29" s="88">
        <v>60.29</v>
      </c>
      <c r="D29" s="89">
        <f t="shared" si="0"/>
        <v>253.45000000000002</v>
      </c>
      <c r="E29" s="85">
        <f t="shared" si="1"/>
        <v>-1.8928543779515423E-2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314.19</v>
      </c>
      <c r="C30" s="88">
        <v>64.27</v>
      </c>
      <c r="D30" s="89">
        <f t="shared" si="0"/>
        <v>249.92000000000002</v>
      </c>
      <c r="E30" s="85">
        <f t="shared" si="1"/>
        <v>-3.2592707284973349E-2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308.52</v>
      </c>
      <c r="C31" s="88">
        <v>63.08</v>
      </c>
      <c r="D31" s="89">
        <f t="shared" si="0"/>
        <v>245.44</v>
      </c>
      <c r="E31" s="85">
        <f t="shared" si="1"/>
        <v>-4.9934195246574407E-2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320.08</v>
      </c>
      <c r="C32" s="88">
        <v>61.7</v>
      </c>
      <c r="D32" s="89">
        <f t="shared" si="0"/>
        <v>258.38</v>
      </c>
      <c r="E32" s="85">
        <f t="shared" si="1"/>
        <v>1.5483471394272516E-4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337.89</v>
      </c>
      <c r="C33" s="88">
        <v>60.92</v>
      </c>
      <c r="D33" s="89">
        <f t="shared" si="0"/>
        <v>276.96999999999997</v>
      </c>
      <c r="E33" s="85">
        <f t="shared" si="1"/>
        <v>7.2114268018889593E-2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306.47000000000003</v>
      </c>
      <c r="C34" s="88">
        <v>62.67</v>
      </c>
      <c r="D34" s="89">
        <f t="shared" si="0"/>
        <v>243.8</v>
      </c>
      <c r="E34" s="85">
        <f t="shared" si="1"/>
        <v>-5.6282418518231861E-2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307.99</v>
      </c>
      <c r="C35" s="88">
        <v>60.67</v>
      </c>
      <c r="D35" s="89">
        <f t="shared" si="0"/>
        <v>247.32</v>
      </c>
      <c r="E35" s="85">
        <f t="shared" si="1"/>
        <v>-4.2656963691259722E-2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321.37</v>
      </c>
      <c r="C36" s="88">
        <v>63.64</v>
      </c>
      <c r="D36" s="89">
        <f t="shared" si="0"/>
        <v>257.73</v>
      </c>
      <c r="E36" s="85">
        <f t="shared" si="1"/>
        <v>-2.3612293876287588E-3</v>
      </c>
      <c r="G36" s="66"/>
      <c r="H36" s="66"/>
    </row>
    <row r="37" spans="1:15" ht="15" x14ac:dyDescent="0.3">
      <c r="A37" s="86">
        <v>17</v>
      </c>
      <c r="B37" s="90">
        <v>311.60000000000002</v>
      </c>
      <c r="C37" s="88">
        <v>63.07</v>
      </c>
      <c r="D37" s="89">
        <f t="shared" si="0"/>
        <v>248.53000000000003</v>
      </c>
      <c r="E37" s="85">
        <f t="shared" si="1"/>
        <v>-3.7973213594487888E-2</v>
      </c>
    </row>
    <row r="38" spans="1:15" ht="15" x14ac:dyDescent="0.3">
      <c r="A38" s="86">
        <v>18</v>
      </c>
      <c r="B38" s="90">
        <v>320.38</v>
      </c>
      <c r="C38" s="88">
        <v>62.78</v>
      </c>
      <c r="D38" s="89">
        <f t="shared" si="0"/>
        <v>257.60000000000002</v>
      </c>
      <c r="E38" s="85">
        <f t="shared" si="1"/>
        <v>-2.8644422079430556E-3</v>
      </c>
    </row>
    <row r="39" spans="1:15" ht="15" x14ac:dyDescent="0.3">
      <c r="A39" s="86">
        <v>19</v>
      </c>
      <c r="B39" s="90">
        <v>328.49</v>
      </c>
      <c r="C39" s="88">
        <v>61.83</v>
      </c>
      <c r="D39" s="89">
        <f t="shared" si="0"/>
        <v>266.66000000000003</v>
      </c>
      <c r="E39" s="85">
        <f t="shared" si="1"/>
        <v>3.2205620500116099E-2</v>
      </c>
    </row>
    <row r="40" spans="1:15" ht="14.25" customHeight="1" x14ac:dyDescent="0.3">
      <c r="A40" s="91">
        <v>20</v>
      </c>
      <c r="B40" s="92">
        <v>321.32</v>
      </c>
      <c r="C40" s="93">
        <v>63.56</v>
      </c>
      <c r="D40" s="94">
        <f t="shared" si="0"/>
        <v>257.76</v>
      </c>
      <c r="E40" s="95">
        <f t="shared" si="1"/>
        <v>-2.245103352171715E-3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6416.45</v>
      </c>
      <c r="C42" s="98">
        <f>SUM(C21:C40)</f>
        <v>1249.6499999999996</v>
      </c>
      <c r="D42" s="99">
        <f>SUM(D21:D40)</f>
        <v>5166.8</v>
      </c>
    </row>
    <row r="43" spans="1:15" ht="15.75" customHeight="1" x14ac:dyDescent="0.3">
      <c r="A43" s="100" t="s">
        <v>47</v>
      </c>
      <c r="B43" s="101">
        <f>AVERAGE(B21:B40)</f>
        <v>320.82249999999999</v>
      </c>
      <c r="C43" s="102">
        <f>AVERAGE(C21:C40)</f>
        <v>62.48249999999998</v>
      </c>
      <c r="D43" s="103">
        <f>AVERAGE(D21:D40)</f>
        <v>258.34000000000003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648">
        <f>D43</f>
        <v>258.34000000000003</v>
      </c>
      <c r="C47" s="107">
        <f>-(IF(D43&gt;300, 7.5%, 10%))</f>
        <v>-0.1</v>
      </c>
      <c r="D47" s="108">
        <f>IF(D43&lt;300, D43*0.9, D43*0.925)</f>
        <v>232.50600000000003</v>
      </c>
    </row>
    <row r="48" spans="1:15" ht="15.75" customHeight="1" x14ac:dyDescent="0.3">
      <c r="B48" s="649"/>
      <c r="C48" s="109">
        <f>+(IF(D43&gt;300, 7.5%, 10%))</f>
        <v>0.1</v>
      </c>
      <c r="D48" s="108">
        <f>IF(D43&lt;300, D43*1.1, D43*1.075)</f>
        <v>284.17400000000004</v>
      </c>
    </row>
    <row r="49" spans="1:7" ht="14.25" customHeight="1" x14ac:dyDescent="0.3">
      <c r="A49" s="110"/>
      <c r="D49" s="111"/>
    </row>
    <row r="50" spans="1:7" ht="15" customHeight="1" x14ac:dyDescent="0.3">
      <c r="B50" s="642" t="s">
        <v>26</v>
      </c>
      <c r="C50" s="642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12" zoomScale="80" zoomScaleNormal="80" zoomScalePageLayoutView="48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0" t="s">
        <v>49</v>
      </c>
      <c r="B1" s="650"/>
      <c r="C1" s="650"/>
      <c r="D1" s="650"/>
      <c r="E1" s="650"/>
      <c r="F1" s="650"/>
      <c r="G1" s="650"/>
      <c r="H1" s="650"/>
      <c r="I1" s="650"/>
    </row>
    <row r="2" spans="1:9" ht="18.75" customHeight="1" x14ac:dyDescent="0.25">
      <c r="A2" s="650"/>
      <c r="B2" s="650"/>
      <c r="C2" s="650"/>
      <c r="D2" s="650"/>
      <c r="E2" s="650"/>
      <c r="F2" s="650"/>
      <c r="G2" s="650"/>
      <c r="H2" s="650"/>
      <c r="I2" s="650"/>
    </row>
    <row r="3" spans="1:9" ht="18.75" customHeight="1" x14ac:dyDescent="0.25">
      <c r="A3" s="650"/>
      <c r="B3" s="650"/>
      <c r="C3" s="650"/>
      <c r="D3" s="650"/>
      <c r="E3" s="650"/>
      <c r="F3" s="650"/>
      <c r="G3" s="650"/>
      <c r="H3" s="650"/>
      <c r="I3" s="650"/>
    </row>
    <row r="4" spans="1:9" ht="18.75" customHeight="1" x14ac:dyDescent="0.25">
      <c r="A4" s="650"/>
      <c r="B4" s="650"/>
      <c r="C4" s="650"/>
      <c r="D4" s="650"/>
      <c r="E4" s="650"/>
      <c r="F4" s="650"/>
      <c r="G4" s="650"/>
      <c r="H4" s="650"/>
      <c r="I4" s="650"/>
    </row>
    <row r="5" spans="1:9" ht="18.75" customHeight="1" x14ac:dyDescent="0.25">
      <c r="A5" s="650"/>
      <c r="B5" s="650"/>
      <c r="C5" s="650"/>
      <c r="D5" s="650"/>
      <c r="E5" s="650"/>
      <c r="F5" s="650"/>
      <c r="G5" s="650"/>
      <c r="H5" s="650"/>
      <c r="I5" s="650"/>
    </row>
    <row r="6" spans="1:9" ht="18.75" customHeight="1" x14ac:dyDescent="0.25">
      <c r="A6" s="650"/>
      <c r="B6" s="650"/>
      <c r="C6" s="650"/>
      <c r="D6" s="650"/>
      <c r="E6" s="650"/>
      <c r="F6" s="650"/>
      <c r="G6" s="650"/>
      <c r="H6" s="650"/>
      <c r="I6" s="650"/>
    </row>
    <row r="7" spans="1:9" ht="18.75" customHeight="1" x14ac:dyDescent="0.25">
      <c r="A7" s="650"/>
      <c r="B7" s="650"/>
      <c r="C7" s="650"/>
      <c r="D7" s="650"/>
      <c r="E7" s="650"/>
      <c r="F7" s="650"/>
      <c r="G7" s="650"/>
      <c r="H7" s="650"/>
      <c r="I7" s="650"/>
    </row>
    <row r="8" spans="1:9" x14ac:dyDescent="0.25">
      <c r="A8" s="651" t="s">
        <v>50</v>
      </c>
      <c r="B8" s="651"/>
      <c r="C8" s="651"/>
      <c r="D8" s="651"/>
      <c r="E8" s="651"/>
      <c r="F8" s="651"/>
      <c r="G8" s="651"/>
      <c r="H8" s="651"/>
      <c r="I8" s="651"/>
    </row>
    <row r="9" spans="1:9" x14ac:dyDescent="0.25">
      <c r="A9" s="651"/>
      <c r="B9" s="651"/>
      <c r="C9" s="651"/>
      <c r="D9" s="651"/>
      <c r="E9" s="651"/>
      <c r="F9" s="651"/>
      <c r="G9" s="651"/>
      <c r="H9" s="651"/>
      <c r="I9" s="651"/>
    </row>
    <row r="10" spans="1:9" x14ac:dyDescent="0.25">
      <c r="A10" s="651"/>
      <c r="B10" s="651"/>
      <c r="C10" s="651"/>
      <c r="D10" s="651"/>
      <c r="E10" s="651"/>
      <c r="F10" s="651"/>
      <c r="G10" s="651"/>
      <c r="H10" s="651"/>
      <c r="I10" s="651"/>
    </row>
    <row r="11" spans="1:9" x14ac:dyDescent="0.25">
      <c r="A11" s="651"/>
      <c r="B11" s="651"/>
      <c r="C11" s="651"/>
      <c r="D11" s="651"/>
      <c r="E11" s="651"/>
      <c r="F11" s="651"/>
      <c r="G11" s="651"/>
      <c r="H11" s="651"/>
      <c r="I11" s="651"/>
    </row>
    <row r="12" spans="1:9" x14ac:dyDescent="0.25">
      <c r="A12" s="651"/>
      <c r="B12" s="651"/>
      <c r="C12" s="651"/>
      <c r="D12" s="651"/>
      <c r="E12" s="651"/>
      <c r="F12" s="651"/>
      <c r="G12" s="651"/>
      <c r="H12" s="651"/>
      <c r="I12" s="651"/>
    </row>
    <row r="13" spans="1:9" x14ac:dyDescent="0.25">
      <c r="A13" s="651"/>
      <c r="B13" s="651"/>
      <c r="C13" s="651"/>
      <c r="D13" s="651"/>
      <c r="E13" s="651"/>
      <c r="F13" s="651"/>
      <c r="G13" s="651"/>
      <c r="H13" s="651"/>
      <c r="I13" s="651"/>
    </row>
    <row r="14" spans="1:9" x14ac:dyDescent="0.25">
      <c r="A14" s="651"/>
      <c r="B14" s="651"/>
      <c r="C14" s="651"/>
      <c r="D14" s="651"/>
      <c r="E14" s="651"/>
      <c r="F14" s="651"/>
      <c r="G14" s="651"/>
      <c r="H14" s="651"/>
      <c r="I14" s="651"/>
    </row>
    <row r="15" spans="1:9" ht="19.5" customHeight="1" x14ac:dyDescent="0.3">
      <c r="A15" s="119"/>
    </row>
    <row r="16" spans="1:9" ht="19.5" customHeight="1" x14ac:dyDescent="0.3">
      <c r="A16" s="683" t="s">
        <v>31</v>
      </c>
      <c r="B16" s="684"/>
      <c r="C16" s="684"/>
      <c r="D16" s="684"/>
      <c r="E16" s="684"/>
      <c r="F16" s="684"/>
      <c r="G16" s="684"/>
      <c r="H16" s="685"/>
    </row>
    <row r="17" spans="1:14" ht="20.25" customHeight="1" x14ac:dyDescent="0.25">
      <c r="A17" s="686" t="s">
        <v>51</v>
      </c>
      <c r="B17" s="686"/>
      <c r="C17" s="686"/>
      <c r="D17" s="686"/>
      <c r="E17" s="686"/>
      <c r="F17" s="686"/>
      <c r="G17" s="686"/>
      <c r="H17" s="686"/>
    </row>
    <row r="18" spans="1:14" ht="26.25" customHeight="1" x14ac:dyDescent="0.4">
      <c r="A18" s="121" t="s">
        <v>33</v>
      </c>
      <c r="B18" s="682" t="s">
        <v>150</v>
      </c>
      <c r="C18" s="682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687" t="s">
        <v>151</v>
      </c>
      <c r="C20" s="687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687" t="s">
        <v>11</v>
      </c>
      <c r="C21" s="687"/>
      <c r="D21" s="687"/>
      <c r="E21" s="687"/>
      <c r="F21" s="687"/>
      <c r="G21" s="687"/>
      <c r="H21" s="687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682" t="s">
        <v>135</v>
      </c>
      <c r="C26" s="682"/>
    </row>
    <row r="27" spans="1:14" ht="26.25" customHeight="1" x14ac:dyDescent="0.4">
      <c r="A27" s="130" t="s">
        <v>52</v>
      </c>
      <c r="B27" s="688" t="s">
        <v>136</v>
      </c>
      <c r="C27" s="688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658" t="s">
        <v>54</v>
      </c>
      <c r="D29" s="659"/>
      <c r="E29" s="659"/>
      <c r="F29" s="659"/>
      <c r="G29" s="660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661" t="s">
        <v>57</v>
      </c>
      <c r="D31" s="662"/>
      <c r="E31" s="662"/>
      <c r="F31" s="662"/>
      <c r="G31" s="662"/>
      <c r="H31" s="663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661" t="s">
        <v>59</v>
      </c>
      <c r="D32" s="662"/>
      <c r="E32" s="662"/>
      <c r="F32" s="662"/>
      <c r="G32" s="662"/>
      <c r="H32" s="66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664" t="s">
        <v>63</v>
      </c>
      <c r="E36" s="689"/>
      <c r="F36" s="664" t="s">
        <v>64</v>
      </c>
      <c r="G36" s="665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185246315</v>
      </c>
      <c r="E38" s="154">
        <f>IF(ISBLANK(D38),"-",$D$48/$D$45*D38)</f>
        <v>178881062.3739033</v>
      </c>
      <c r="F38" s="153">
        <v>177863658</v>
      </c>
      <c r="G38" s="155">
        <f>IF(ISBLANK(F38),"-",$D$48/$F$45*F38)</f>
        <v>177377308.67423528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181188225</v>
      </c>
      <c r="E39" s="159">
        <f>IF(ISBLANK(D39),"-",$D$48/$D$45*D39)</f>
        <v>174962412.49193987</v>
      </c>
      <c r="F39" s="158">
        <v>178402696</v>
      </c>
      <c r="G39" s="160">
        <f>IF(ISBLANK(F39),"-",$D$48/$F$45*F39)</f>
        <v>177914872.73194259</v>
      </c>
      <c r="I39" s="666">
        <f>ABS((F43/D43*D42)-F42)/D42</f>
        <v>7.3924542664109581E-3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181309312</v>
      </c>
      <c r="E40" s="159">
        <f>IF(ISBLANK(D40),"-",$D$48/$D$45*D40)</f>
        <v>175079338.81892061</v>
      </c>
      <c r="F40" s="158">
        <v>178155880</v>
      </c>
      <c r="G40" s="160">
        <f>IF(ISBLANK(F40),"-",$D$48/$F$45*F40)</f>
        <v>177668731.62414113</v>
      </c>
      <c r="I40" s="666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182581284</v>
      </c>
      <c r="E42" s="169">
        <f>AVERAGE(E38:E41)</f>
        <v>176307604.56158793</v>
      </c>
      <c r="F42" s="168">
        <f>AVERAGE(F38:F41)</f>
        <v>178140744.66666666</v>
      </c>
      <c r="G42" s="170">
        <f>AVERAGE(G38:G41)</f>
        <v>177653637.67677298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24.28</v>
      </c>
      <c r="E43" s="161"/>
      <c r="F43" s="173">
        <v>23.51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21.037759560178195</v>
      </c>
      <c r="E44" s="176"/>
      <c r="F44" s="175">
        <f>F43*$B$34</f>
        <v>20.370581847602526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20</v>
      </c>
      <c r="C45" s="174" t="s">
        <v>81</v>
      </c>
      <c r="D45" s="178">
        <f>D44*$B$30/100</f>
        <v>20.711674286995436</v>
      </c>
      <c r="E45" s="179"/>
      <c r="F45" s="178">
        <f>F44*$B$30/100</f>
        <v>20.054837828964686</v>
      </c>
      <c r="H45" s="171"/>
    </row>
    <row r="46" spans="1:14" ht="19.5" customHeight="1" x14ac:dyDescent="0.3">
      <c r="A46" s="652" t="s">
        <v>82</v>
      </c>
      <c r="B46" s="653"/>
      <c r="C46" s="174" t="s">
        <v>83</v>
      </c>
      <c r="D46" s="180">
        <f>D45/$B$45</f>
        <v>1.0355837143497717</v>
      </c>
      <c r="E46" s="181"/>
      <c r="F46" s="182">
        <f>F45/$B$45</f>
        <v>1.0027418914482342</v>
      </c>
      <c r="H46" s="171"/>
    </row>
    <row r="47" spans="1:14" ht="27" customHeight="1" x14ac:dyDescent="0.4">
      <c r="A47" s="654"/>
      <c r="B47" s="655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23.082305823058228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176980621.11918047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9.0417386458002784E-3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hard gelatin  capsule contains:  Doxycycline Hyclate BP Equivalent to  Doxycycline 100 mg.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>Doxycycline as Doxycycline Hyclate B.P.</v>
      </c>
      <c r="H56" s="200"/>
    </row>
    <row r="57" spans="1:12" ht="18.75" x14ac:dyDescent="0.3">
      <c r="A57" s="197" t="s">
        <v>92</v>
      </c>
      <c r="B57" s="268">
        <f>Uniformity!B47</f>
        <v>258.34000000000003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669" t="s">
        <v>98</v>
      </c>
      <c r="D60" s="672">
        <v>259.44</v>
      </c>
      <c r="E60" s="203">
        <v>1</v>
      </c>
      <c r="F60" s="204">
        <v>177407478</v>
      </c>
      <c r="G60" s="269">
        <f>IF(ISBLANK(F60),"-",(F60/$D$50*$D$47*$B$68)*($B$57/$D$60))</f>
        <v>99.816175738153859</v>
      </c>
      <c r="H60" s="287">
        <f t="shared" ref="H60:H71" si="0">IF(ISBLANK(F60),"-",(G60/$B$56)*100)</f>
        <v>99.816175738153859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670"/>
      <c r="D61" s="673"/>
      <c r="E61" s="205">
        <v>2</v>
      </c>
      <c r="F61" s="158">
        <v>176250766</v>
      </c>
      <c r="G61" s="270">
        <f>IF(ISBLANK(F61),"-",(F61/$D$50*$D$47*$B$68)*($B$57/$D$60))</f>
        <v>99.165365695803615</v>
      </c>
      <c r="H61" s="288">
        <f t="shared" si="0"/>
        <v>99.165365695803615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670"/>
      <c r="D62" s="673"/>
      <c r="E62" s="205">
        <v>3</v>
      </c>
      <c r="F62" s="206">
        <v>178032326</v>
      </c>
      <c r="G62" s="270">
        <f>IF(ISBLANK(F62),"-",(F62/$D$50*$D$47*$B$68)*($B$57/$D$60))</f>
        <v>100.16773892185255</v>
      </c>
      <c r="H62" s="288">
        <f t="shared" si="0"/>
        <v>100.16773892185256</v>
      </c>
      <c r="L62" s="133"/>
    </row>
    <row r="63" spans="1:12" ht="27" customHeight="1" x14ac:dyDescent="0.4">
      <c r="A63" s="145" t="s">
        <v>101</v>
      </c>
      <c r="B63" s="146">
        <v>1</v>
      </c>
      <c r="C63" s="679"/>
      <c r="D63" s="674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669" t="s">
        <v>103</v>
      </c>
      <c r="D64" s="672">
        <v>256.64</v>
      </c>
      <c r="E64" s="203">
        <v>1</v>
      </c>
      <c r="F64" s="204">
        <v>171609076</v>
      </c>
      <c r="G64" s="269">
        <f>IF(ISBLANK(F64),"-",(F64/$D$50*$D$47*$B$68)*($B$57/$D$64))</f>
        <v>97.607198208366739</v>
      </c>
      <c r="H64" s="287">
        <f t="shared" si="0"/>
        <v>97.607198208366739</v>
      </c>
    </row>
    <row r="65" spans="1:8" ht="26.25" customHeight="1" x14ac:dyDescent="0.4">
      <c r="A65" s="145" t="s">
        <v>104</v>
      </c>
      <c r="B65" s="146">
        <v>1</v>
      </c>
      <c r="C65" s="670"/>
      <c r="D65" s="673"/>
      <c r="E65" s="205">
        <v>2</v>
      </c>
      <c r="F65" s="158">
        <v>172207006</v>
      </c>
      <c r="G65" s="270">
        <f>IF(ISBLANK(F65),"-",(F65/$D$50*$D$47*$B$68)*($B$57/$D$64))</f>
        <v>97.947286701266322</v>
      </c>
      <c r="H65" s="288">
        <f t="shared" si="0"/>
        <v>97.947286701266322</v>
      </c>
    </row>
    <row r="66" spans="1:8" ht="26.25" customHeight="1" x14ac:dyDescent="0.4">
      <c r="A66" s="145" t="s">
        <v>105</v>
      </c>
      <c r="B66" s="146">
        <v>1</v>
      </c>
      <c r="C66" s="670"/>
      <c r="D66" s="673"/>
      <c r="E66" s="205">
        <v>3</v>
      </c>
      <c r="F66" s="158">
        <v>171678343</v>
      </c>
      <c r="G66" s="270">
        <f>IF(ISBLANK(F66),"-",(F66/$D$50*$D$47*$B$68)*($B$57/$D$64))</f>
        <v>97.646595645587936</v>
      </c>
      <c r="H66" s="288">
        <f t="shared" si="0"/>
        <v>97.646595645587936</v>
      </c>
    </row>
    <row r="67" spans="1:8" ht="27" customHeight="1" x14ac:dyDescent="0.4">
      <c r="A67" s="145" t="s">
        <v>106</v>
      </c>
      <c r="B67" s="146">
        <v>1</v>
      </c>
      <c r="C67" s="679"/>
      <c r="D67" s="674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100</v>
      </c>
      <c r="C68" s="669" t="s">
        <v>108</v>
      </c>
      <c r="D68" s="672">
        <v>259.58</v>
      </c>
      <c r="E68" s="203">
        <v>1</v>
      </c>
      <c r="F68" s="204">
        <v>174467412</v>
      </c>
      <c r="G68" s="269">
        <f>IF(ISBLANK(F68),"-",(F68/$D$50*$D$47*$B$68)*($B$57/$D$68))</f>
        <v>98.109041123225367</v>
      </c>
      <c r="H68" s="288">
        <f t="shared" si="0"/>
        <v>98.109041123225367</v>
      </c>
    </row>
    <row r="69" spans="1:8" ht="27" customHeight="1" x14ac:dyDescent="0.4">
      <c r="A69" s="193" t="s">
        <v>109</v>
      </c>
      <c r="B69" s="210">
        <f>(D47*B68)/B56*B57</f>
        <v>258.34000000000003</v>
      </c>
      <c r="C69" s="670"/>
      <c r="D69" s="673"/>
      <c r="E69" s="205">
        <v>2</v>
      </c>
      <c r="F69" s="158">
        <v>174226629</v>
      </c>
      <c r="G69" s="270">
        <f>IF(ISBLANK(F69),"-",(F69/$D$50*$D$47*$B$68)*($B$57/$D$68))</f>
        <v>97.973640540514964</v>
      </c>
      <c r="H69" s="288">
        <f t="shared" si="0"/>
        <v>97.973640540514964</v>
      </c>
    </row>
    <row r="70" spans="1:8" ht="26.25" customHeight="1" x14ac:dyDescent="0.4">
      <c r="A70" s="675" t="s">
        <v>82</v>
      </c>
      <c r="B70" s="676"/>
      <c r="C70" s="670"/>
      <c r="D70" s="673"/>
      <c r="E70" s="205">
        <v>3</v>
      </c>
      <c r="F70" s="158">
        <v>174357482</v>
      </c>
      <c r="G70" s="270">
        <f>IF(ISBLANK(F70),"-",(F70/$D$50*$D$47*$B$68)*($B$57/$D$68))</f>
        <v>98.047223694015855</v>
      </c>
      <c r="H70" s="288">
        <f t="shared" si="0"/>
        <v>98.047223694015855</v>
      </c>
    </row>
    <row r="71" spans="1:8" ht="27" customHeight="1" x14ac:dyDescent="0.4">
      <c r="A71" s="677"/>
      <c r="B71" s="678"/>
      <c r="C71" s="671"/>
      <c r="D71" s="674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98.497807363198589</v>
      </c>
      <c r="H72" s="290">
        <f>AVERAGE(H60:H71)</f>
        <v>98.497807363198589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9.7789647720903962E-3</v>
      </c>
      <c r="H73" s="274">
        <f>STDEV(H60:H71)/H72</f>
        <v>9.7789647720904257E-3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656" t="str">
        <f>B26</f>
        <v>Doxycycline Hyclate</v>
      </c>
      <c r="D76" s="656"/>
      <c r="E76" s="219" t="s">
        <v>112</v>
      </c>
      <c r="F76" s="219"/>
      <c r="G76" s="220">
        <f>H72</f>
        <v>98.497807363198589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690" t="str">
        <f>B26</f>
        <v>Doxycycline Hyclate</v>
      </c>
      <c r="C79" s="690"/>
    </row>
    <row r="80" spans="1:8" ht="26.25" customHeight="1" x14ac:dyDescent="0.4">
      <c r="A80" s="130" t="s">
        <v>52</v>
      </c>
      <c r="B80" s="690" t="str">
        <f>B27</f>
        <v>D23-2</v>
      </c>
      <c r="C80" s="690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658" t="s">
        <v>54</v>
      </c>
      <c r="D82" s="659"/>
      <c r="E82" s="659"/>
      <c r="F82" s="659"/>
      <c r="G82" s="660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661" t="s">
        <v>115</v>
      </c>
      <c r="D84" s="662"/>
      <c r="E84" s="662"/>
      <c r="F84" s="662"/>
      <c r="G84" s="662"/>
      <c r="H84" s="663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661" t="s">
        <v>116</v>
      </c>
      <c r="D85" s="662"/>
      <c r="E85" s="662"/>
      <c r="F85" s="662"/>
      <c r="G85" s="662"/>
      <c r="H85" s="66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20</v>
      </c>
      <c r="D89" s="223" t="s">
        <v>63</v>
      </c>
      <c r="E89" s="224"/>
      <c r="F89" s="664" t="s">
        <v>64</v>
      </c>
      <c r="G89" s="665"/>
    </row>
    <row r="90" spans="1:12" ht="27" customHeight="1" x14ac:dyDescent="0.4">
      <c r="A90" s="145" t="s">
        <v>65</v>
      </c>
      <c r="B90" s="146">
        <v>0.5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27">
        <v>1</v>
      </c>
      <c r="D91" s="303">
        <v>0.70799999999999996</v>
      </c>
      <c r="E91" s="154">
        <f>IF(ISBLANK(D91),"-",$D$101/$D$98*D91)</f>
        <v>0.78451561002453407</v>
      </c>
      <c r="F91" s="303">
        <v>0.71299999999999997</v>
      </c>
      <c r="G91" s="155">
        <f>IF(ISBLANK(F91),"-",$D$101/$F$98*F91)</f>
        <v>0.76500065735356526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304">
        <v>0.70599999999999996</v>
      </c>
      <c r="E92" s="159">
        <f>IF(ISBLANK(D92),"-",$D$101/$D$98*D92)</f>
        <v>0.78229946423350427</v>
      </c>
      <c r="F92" s="304">
        <v>0.71199999999999997</v>
      </c>
      <c r="G92" s="160">
        <f>IF(ISBLANK(F92),"-",$D$101/$F$98*F92)</f>
        <v>0.76392772515531338</v>
      </c>
      <c r="I92" s="666">
        <f>ABS((F96/D96*D95)-F95)/D95</f>
        <v>2.5679884631837027E-2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304">
        <v>0.70699999999999996</v>
      </c>
      <c r="E93" s="159">
        <f>IF(ISBLANK(D93),"-",$D$101/$D$98*D93)</f>
        <v>0.78340753712901912</v>
      </c>
      <c r="F93" s="304">
        <v>0.71099999999999997</v>
      </c>
      <c r="G93" s="160">
        <f>IF(ISBLANK(F93),"-",$D$101/$F$98*F93)</f>
        <v>0.7628547929570616</v>
      </c>
      <c r="I93" s="666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0.70699999999999996</v>
      </c>
      <c r="E95" s="169">
        <f>AVERAGE(E91:E94)</f>
        <v>0.78340753712901912</v>
      </c>
      <c r="F95" s="232">
        <f>AVERAGE(F91:F94)</f>
        <v>0.71199999999999986</v>
      </c>
      <c r="G95" s="233">
        <f>AVERAGE(G91:G94)</f>
        <v>0.76392772515531338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23.51</v>
      </c>
      <c r="E96" s="161"/>
      <c r="F96" s="173">
        <v>24.28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20.370581847602526</v>
      </c>
      <c r="E97" s="176"/>
      <c r="F97" s="175">
        <f>F96*$B$87</f>
        <v>21.037759560178195</v>
      </c>
    </row>
    <row r="98" spans="1:10" ht="19.5" customHeight="1" x14ac:dyDescent="0.3">
      <c r="A98" s="145" t="s">
        <v>80</v>
      </c>
      <c r="B98" s="238">
        <f>(B97/B96)*(B95/B94)*(B93/B92)*(B91/B90)*B89</f>
        <v>2000</v>
      </c>
      <c r="C98" s="236" t="s">
        <v>119</v>
      </c>
      <c r="D98" s="239">
        <f>D97*$B$83/100</f>
        <v>20.054837828964686</v>
      </c>
      <c r="E98" s="179"/>
      <c r="F98" s="178">
        <f>F97*$B$83/100</f>
        <v>20.711674286995436</v>
      </c>
    </row>
    <row r="99" spans="1:10" ht="19.5" customHeight="1" x14ac:dyDescent="0.3">
      <c r="A99" s="652" t="s">
        <v>82</v>
      </c>
      <c r="B99" s="667"/>
      <c r="C99" s="236" t="s">
        <v>120</v>
      </c>
      <c r="D99" s="240">
        <f>D98/$B$98</f>
        <v>1.0027418914482344E-2</v>
      </c>
      <c r="E99" s="179"/>
      <c r="F99" s="182">
        <f>F98/$B$98</f>
        <v>1.0355837143497719E-2</v>
      </c>
      <c r="G99" s="241"/>
      <c r="H99" s="171"/>
    </row>
    <row r="100" spans="1:10" ht="19.5" customHeight="1" x14ac:dyDescent="0.3">
      <c r="A100" s="654"/>
      <c r="B100" s="668"/>
      <c r="C100" s="236" t="s">
        <v>84</v>
      </c>
      <c r="D100" s="242">
        <f>$B$56/$B$116</f>
        <v>1.1111111111111112E-2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25.647006470064696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0.7736676311421663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1.3848368000896545E-2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1</v>
      </c>
      <c r="C108" s="294">
        <v>1</v>
      </c>
      <c r="D108" s="305">
        <v>0.63700000000000001</v>
      </c>
      <c r="E108" s="271">
        <f t="shared" ref="E108:E113" si="1">IF(ISBLANK(D108),"-",D108/$D$103*$D$100*$B$116)</f>
        <v>82.335097703337595</v>
      </c>
      <c r="F108" s="295">
        <f t="shared" ref="F108:F113" si="2">IF(ISBLANK(D108), "-", (E108/$B$56)*100)</f>
        <v>82.335097703337595</v>
      </c>
    </row>
    <row r="109" spans="1:10" ht="26.25" customHeight="1" x14ac:dyDescent="0.4">
      <c r="A109" s="145" t="s">
        <v>99</v>
      </c>
      <c r="B109" s="146">
        <v>10</v>
      </c>
      <c r="C109" s="292">
        <v>2</v>
      </c>
      <c r="D109" s="306">
        <v>0.63100000000000001</v>
      </c>
      <c r="E109" s="272">
        <f t="shared" si="1"/>
        <v>81.559570880386204</v>
      </c>
      <c r="F109" s="296">
        <f t="shared" si="2"/>
        <v>81.559570880386204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06">
        <v>0.63400000000000001</v>
      </c>
      <c r="E110" s="272">
        <f t="shared" si="1"/>
        <v>81.947334291861907</v>
      </c>
      <c r="F110" s="296">
        <f t="shared" si="2"/>
        <v>81.947334291861907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06">
        <v>0.60699999999999998</v>
      </c>
      <c r="E111" s="272">
        <f t="shared" si="1"/>
        <v>78.457463588580708</v>
      </c>
      <c r="F111" s="296">
        <f t="shared" si="2"/>
        <v>78.457463588580708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06">
        <v>0.61299999999999999</v>
      </c>
      <c r="E112" s="272">
        <f t="shared" si="1"/>
        <v>79.232990411532086</v>
      </c>
      <c r="F112" s="296">
        <f t="shared" si="2"/>
        <v>79.232990411532086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07">
        <v>0.60799999999999998</v>
      </c>
      <c r="E113" s="273">
        <f t="shared" si="1"/>
        <v>78.586718059072609</v>
      </c>
      <c r="F113" s="297">
        <f t="shared" si="2"/>
        <v>78.586718059072609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80.353195822461842</v>
      </c>
      <c r="F115" s="299">
        <f>AVERAGE(F108:F113)</f>
        <v>80.353195822461842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55"/>
      <c r="D116" s="279" t="s">
        <v>88</v>
      </c>
      <c r="E116" s="277">
        <f>STDEV(E108:E113)/E115</f>
        <v>2.2188286933668335E-2</v>
      </c>
      <c r="F116" s="256">
        <f>STDEV(F108:F113)/F115</f>
        <v>2.2188286933668335E-2</v>
      </c>
      <c r="I116" s="119"/>
    </row>
    <row r="117" spans="1:10" ht="27" customHeight="1" x14ac:dyDescent="0.4">
      <c r="A117" s="652" t="s">
        <v>82</v>
      </c>
      <c r="B117" s="653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654"/>
      <c r="B118" s="655"/>
      <c r="C118" s="119"/>
      <c r="D118" s="281"/>
      <c r="E118" s="680" t="s">
        <v>127</v>
      </c>
      <c r="F118" s="681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78.457463588580708</v>
      </c>
      <c r="F119" s="300">
        <f>MIN(F108:F113)</f>
        <v>78.457463588580708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82.335097703337595</v>
      </c>
      <c r="F120" s="301">
        <f>MAX(F108:F113)</f>
        <v>82.335097703337595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656" t="str">
        <f>B26</f>
        <v>Doxycycline Hyclate</v>
      </c>
      <c r="D124" s="656"/>
      <c r="E124" s="219" t="s">
        <v>131</v>
      </c>
      <c r="F124" s="219"/>
      <c r="G124" s="302">
        <f>F115</f>
        <v>80.353195822461842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78.457463588580708</v>
      </c>
      <c r="E125" s="230" t="s">
        <v>134</v>
      </c>
      <c r="F125" s="302">
        <f>MAX(F108:F113)</f>
        <v>82.335097703337595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657" t="s">
        <v>26</v>
      </c>
      <c r="C127" s="657"/>
      <c r="E127" s="225" t="s">
        <v>27</v>
      </c>
      <c r="F127" s="260"/>
      <c r="G127" s="657" t="s">
        <v>28</v>
      </c>
      <c r="H127" s="657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Doxycycline Hyclate 1</vt:lpstr>
      <vt:lpstr>SST</vt:lpstr>
      <vt:lpstr>Uniformity</vt:lpstr>
      <vt:lpstr>Doxycycline Hyclate</vt:lpstr>
      <vt:lpstr>'Doxycycline Hyclate 1'!Print_Area</vt:lpstr>
      <vt:lpstr>'Doxycycline Hyclate 1'!Print_Titles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Rebecca</cp:lastModifiedBy>
  <cp:lastPrinted>2017-07-10T06:49:22Z</cp:lastPrinted>
  <dcterms:created xsi:type="dcterms:W3CDTF">2005-07-05T10:19:27Z</dcterms:created>
  <dcterms:modified xsi:type="dcterms:W3CDTF">2017-07-26T12:47:47Z</dcterms:modified>
</cp:coreProperties>
</file>