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tri" sheetId="1" r:id="rId1"/>
    <sheet name="Uniformity" sheetId="2" r:id="rId2"/>
    <sheet name="sulfamethoxazole" sheetId="4" r:id="rId3"/>
    <sheet name="TRIMETHROPRIM" sheetId="5" r:id="rId4"/>
    <sheet name="sst sulf" sheetId="6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21" i="6"/>
  <c r="B42" i="1"/>
  <c r="B21" i="1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B57" i="5"/>
  <c r="B69" i="5" s="1"/>
  <c r="C56" i="5"/>
  <c r="B55" i="5"/>
  <c r="B45" i="5"/>
  <c r="D48" i="5" s="1"/>
  <c r="F42" i="5"/>
  <c r="D42" i="5"/>
  <c r="I39" i="5" s="1"/>
  <c r="G41" i="5"/>
  <c r="E41" i="5"/>
  <c r="B34" i="5"/>
  <c r="F44" i="5" s="1"/>
  <c r="B30" i="5"/>
  <c r="I92" i="5" l="1"/>
  <c r="D101" i="5"/>
  <c r="D102" i="5" s="1"/>
  <c r="F45" i="5"/>
  <c r="F46" i="5" s="1"/>
  <c r="F98" i="5"/>
  <c r="F99" i="5" s="1"/>
  <c r="D49" i="5"/>
  <c r="G40" i="5"/>
  <c r="D97" i="5"/>
  <c r="D98" i="5" s="1"/>
  <c r="D99" i="5" s="1"/>
  <c r="D44" i="5"/>
  <c r="D45" i="5" s="1"/>
  <c r="D46" i="5" s="1"/>
  <c r="G39" i="5" l="1"/>
  <c r="G38" i="5"/>
  <c r="G92" i="5"/>
  <c r="G91" i="5"/>
  <c r="E91" i="5"/>
  <c r="G93" i="5"/>
  <c r="G94" i="5"/>
  <c r="E38" i="5"/>
  <c r="E40" i="5"/>
  <c r="E92" i="5"/>
  <c r="E94" i="5"/>
  <c r="E39" i="5"/>
  <c r="G42" i="5"/>
  <c r="E93" i="5"/>
  <c r="C124" i="4"/>
  <c r="B116" i="4"/>
  <c r="D100" i="4" s="1"/>
  <c r="B98" i="4"/>
  <c r="F95" i="4"/>
  <c r="D95" i="4"/>
  <c r="B87" i="4"/>
  <c r="F97" i="4" s="1"/>
  <c r="B81" i="4"/>
  <c r="B83" i="4" s="1"/>
  <c r="B79" i="4"/>
  <c r="C76" i="4"/>
  <c r="B68" i="4"/>
  <c r="C56" i="4"/>
  <c r="B55" i="4"/>
  <c r="B45" i="4"/>
  <c r="D48" i="4" s="1"/>
  <c r="F42" i="4"/>
  <c r="D42" i="4"/>
  <c r="B34" i="4"/>
  <c r="D44" i="4" s="1"/>
  <c r="B30" i="4"/>
  <c r="C49" i="2"/>
  <c r="C46" i="2"/>
  <c r="B57" i="4" s="1"/>
  <c r="C45" i="2"/>
  <c r="D43" i="2"/>
  <c r="D39" i="2"/>
  <c r="D35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I92" i="4"/>
  <c r="D101" i="4"/>
  <c r="D102" i="4" s="1"/>
  <c r="D97" i="4"/>
  <c r="D98" i="4" s="1"/>
  <c r="D103" i="5"/>
  <c r="E108" i="5" s="1"/>
  <c r="D52" i="5"/>
  <c r="D50" i="5"/>
  <c r="G61" i="5" s="1"/>
  <c r="H61" i="5" s="1"/>
  <c r="E42" i="5"/>
  <c r="D105" i="5"/>
  <c r="E95" i="5"/>
  <c r="I39" i="4"/>
  <c r="F44" i="4"/>
  <c r="F45" i="4" s="1"/>
  <c r="F46" i="4" s="1"/>
  <c r="D45" i="4"/>
  <c r="D46" i="4" s="1"/>
  <c r="B69" i="4"/>
  <c r="F98" i="4"/>
  <c r="F99" i="4" s="1"/>
  <c r="D24" i="2"/>
  <c r="D28" i="2"/>
  <c r="D32" i="2"/>
  <c r="D36" i="2"/>
  <c r="D40" i="2"/>
  <c r="D49" i="2"/>
  <c r="D49" i="4"/>
  <c r="D33" i="2"/>
  <c r="D37" i="2"/>
  <c r="D41" i="2"/>
  <c r="C50" i="2"/>
  <c r="D26" i="2"/>
  <c r="D30" i="2"/>
  <c r="D34" i="2"/>
  <c r="D38" i="2"/>
  <c r="D42" i="2"/>
  <c r="B49" i="2"/>
  <c r="D50" i="2"/>
  <c r="E112" i="5" l="1"/>
  <c r="F112" i="5" s="1"/>
  <c r="D104" i="5"/>
  <c r="E110" i="5"/>
  <c r="F110" i="5" s="1"/>
  <c r="E113" i="5"/>
  <c r="F113" i="5" s="1"/>
  <c r="E109" i="5"/>
  <c r="F109" i="5" s="1"/>
  <c r="E111" i="5"/>
  <c r="F111" i="5" s="1"/>
  <c r="D99" i="4"/>
  <c r="E94" i="4"/>
  <c r="E91" i="4"/>
  <c r="D51" i="5"/>
  <c r="G66" i="5"/>
  <c r="H66" i="5" s="1"/>
  <c r="G65" i="5"/>
  <c r="H65" i="5" s="1"/>
  <c r="G60" i="5"/>
  <c r="H60" i="5" s="1"/>
  <c r="G70" i="5"/>
  <c r="H70" i="5" s="1"/>
  <c r="G69" i="5"/>
  <c r="H69" i="5" s="1"/>
  <c r="G62" i="5"/>
  <c r="H62" i="5" s="1"/>
  <c r="G68" i="5"/>
  <c r="H68" i="5" s="1"/>
  <c r="G64" i="5"/>
  <c r="H64" i="5" s="1"/>
  <c r="E93" i="4"/>
  <c r="F108" i="5"/>
  <c r="E38" i="4"/>
  <c r="E41" i="4"/>
  <c r="E40" i="4"/>
  <c r="E39" i="4"/>
  <c r="G38" i="4"/>
  <c r="G40" i="4"/>
  <c r="G41" i="4"/>
  <c r="G39" i="4"/>
  <c r="G92" i="4"/>
  <c r="G93" i="4"/>
  <c r="G91" i="4"/>
  <c r="E92" i="4"/>
  <c r="G94" i="4"/>
  <c r="E115" i="5" l="1"/>
  <c r="E116" i="5" s="1"/>
  <c r="E117" i="5"/>
  <c r="E119" i="5"/>
  <c r="E120" i="5"/>
  <c r="G72" i="5"/>
  <c r="G73" i="5" s="1"/>
  <c r="G74" i="5"/>
  <c r="D103" i="4"/>
  <c r="D104" i="4" s="1"/>
  <c r="H74" i="5"/>
  <c r="H72" i="5"/>
  <c r="F125" i="5"/>
  <c r="F120" i="5"/>
  <c r="F117" i="5"/>
  <c r="D125" i="5"/>
  <c r="F115" i="5"/>
  <c r="F119" i="5"/>
  <c r="E95" i="4"/>
  <c r="E42" i="4"/>
  <c r="D50" i="4"/>
  <c r="G65" i="4" s="1"/>
  <c r="H65" i="4" s="1"/>
  <c r="D52" i="4"/>
  <c r="G42" i="4"/>
  <c r="D105" i="4"/>
  <c r="G95" i="4"/>
  <c r="G67" i="4"/>
  <c r="H67" i="4" s="1"/>
  <c r="G63" i="4"/>
  <c r="H63" i="4" s="1"/>
  <c r="G71" i="4"/>
  <c r="H71" i="4" s="1"/>
  <c r="E108" i="4" l="1"/>
  <c r="F108" i="4" s="1"/>
  <c r="E111" i="4"/>
  <c r="F111" i="4" s="1"/>
  <c r="E110" i="4"/>
  <c r="F110" i="4" s="1"/>
  <c r="E113" i="4"/>
  <c r="F113" i="4" s="1"/>
  <c r="E112" i="4"/>
  <c r="F112" i="4" s="1"/>
  <c r="E109" i="4"/>
  <c r="F109" i="4" s="1"/>
  <c r="G124" i="5"/>
  <c r="F116" i="5"/>
  <c r="G76" i="5"/>
  <c r="H73" i="5"/>
  <c r="G69" i="4"/>
  <c r="H69" i="4" s="1"/>
  <c r="G68" i="4"/>
  <c r="H68" i="4" s="1"/>
  <c r="G70" i="4"/>
  <c r="H70" i="4" s="1"/>
  <c r="G61" i="4"/>
  <c r="H61" i="4" s="1"/>
  <c r="G62" i="4"/>
  <c r="H62" i="4" s="1"/>
  <c r="G60" i="4"/>
  <c r="H60" i="4" s="1"/>
  <c r="D51" i="4"/>
  <c r="G66" i="4"/>
  <c r="H66" i="4" s="1"/>
  <c r="G64" i="4"/>
  <c r="H64" i="4" s="1"/>
  <c r="E117" i="4" l="1"/>
  <c r="E119" i="4"/>
  <c r="E120" i="4"/>
  <c r="E115" i="4"/>
  <c r="E116" i="4" s="1"/>
  <c r="G74" i="4"/>
  <c r="G72" i="4"/>
  <c r="G73" i="4" s="1"/>
  <c r="H74" i="4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<sst xmlns="http://schemas.openxmlformats.org/spreadsheetml/2006/main" count="456" uniqueCount="136">
  <si>
    <t>HPLC System Suitability Report</t>
  </si>
  <si>
    <t>Analysis Data</t>
  </si>
  <si>
    <t>Assay</t>
  </si>
  <si>
    <t>Sample(s)</t>
  </si>
  <si>
    <t>Reference Substance:</t>
  </si>
  <si>
    <t>COTRIMOXAZOLE 960 TABLETS</t>
  </si>
  <si>
    <t>% age Purity:</t>
  </si>
  <si>
    <t>NDQB201705391</t>
  </si>
  <si>
    <t>Weight (mg):</t>
  </si>
  <si>
    <t>Sulphamethoxazole 800 mg, Trimethoprim 160 mg</t>
  </si>
  <si>
    <t>Standard Conc (mg/mL):</t>
  </si>
  <si>
    <t>2017-05-15 11:18:07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</si>
  <si>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</si>
  <si>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</si>
  <si>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</si>
  <si>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</si>
  <si>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</si>
  <si>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</si>
  <si>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</si>
  <si>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</si>
  <si>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</si>
  <si>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</si>
  <si>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</si>
  <si>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</si>
  <si>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</si>
  <si>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</si>
  <si>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</si>
  <si>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</si>
  <si>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</si>
  <si>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</si>
  <si>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</si>
  <si>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</si>
  <si>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</si>
  <si>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</si>
  <si>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</si>
  <si>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</si>
  <si>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</si>
  <si>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</si>
  <si>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</si>
  <si>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</si>
  <si>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</si>
  <si>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</si>
  <si>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</si>
  <si>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</si>
  <si>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</si>
  <si>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</si>
  <si>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</si>
  <si>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</si>
  <si>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</si>
  <si>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</si>
  <si>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</si>
  <si>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</si>
  <si>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</si>
  <si>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</si>
  <si>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</si>
  <si>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</si>
  <si>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</si>
  <si>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</si>
  <si>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</si>
  <si>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</si>
  <si>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</si>
  <si>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</si>
  <si>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</si>
  <si>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</si>
  <si>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</si>
  <si>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</si>
  <si>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</si>
  <si>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</si>
  <si>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</si>
  <si>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</si>
  <si>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</si>
  <si>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</si>
  <si>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</si>
  <si>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</si>
  <si>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</si>
  <si>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</si>
  <si>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</si>
  <si>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</si>
  <si>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</si>
  <si>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</si>
  <si>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</si>
  <si>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</si>
  <si>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</si>
  <si>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</si>
  <si>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</si>
  <si>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</si>
  <si>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</si>
  <si>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</si>
  <si>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</si>
  <si>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</si>
  <si>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</si>
  <si>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</si>
  <si>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</si>
  <si>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</si>
  <si>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</si>
  <si>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</si>
  <si>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</si>
  <si>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</si>
  <si>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</si>
  <si>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</si>
  <si>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</si>
  <si>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</si>
  <si>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</si>
  <si>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</si>
  <si>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</si>
  <si>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</si>
  <si>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</si>
  <si>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</si>
  <si>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</si>
  <si>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</si>
  <si>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</si>
  <si>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</si>
  <si>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</si>
  <si>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</si>
  <si>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</si>
  <si>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</si>
  <si>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</si>
  <si>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</si>
  <si>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</si>
  <si>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</si>
  <si>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</si>
  <si>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</si>
  <si>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</si>
  <si>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</si>
  <si>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</si>
  <si>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</si>
  <si>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</si>
  <si>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</si>
  <si>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</si>
  <si>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Trimethroprim</t>
  </si>
  <si>
    <t>sulfamethoxazole</t>
  </si>
  <si>
    <t>10355..69</t>
  </si>
  <si>
    <t>Sulfamethoxazole</t>
  </si>
  <si>
    <t>Trimethoprim</t>
  </si>
  <si>
    <t>T17-4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</si>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</sst>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A56" sqref="A5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3.3520000000000001E-2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2991018</v>
      </c>
      <c r="C24" s="18">
        <v>6322.25</v>
      </c>
      <c r="D24" s="19">
        <v>1.33</v>
      </c>
      <c r="E24" s="20">
        <v>4.53</v>
      </c>
    </row>
    <row r="25" spans="1:6" ht="16.5" customHeight="1" x14ac:dyDescent="0.3">
      <c r="A25" s="17">
        <v>2</v>
      </c>
      <c r="B25" s="18">
        <v>2998826</v>
      </c>
      <c r="C25" s="18">
        <v>6341.61</v>
      </c>
      <c r="D25" s="19">
        <v>1.31</v>
      </c>
      <c r="E25" s="19">
        <v>4.53</v>
      </c>
    </row>
    <row r="26" spans="1:6" ht="16.5" customHeight="1" x14ac:dyDescent="0.3">
      <c r="A26" s="17">
        <v>3</v>
      </c>
      <c r="B26" s="18">
        <v>2999608</v>
      </c>
      <c r="C26" s="18">
        <v>6426.37</v>
      </c>
      <c r="D26" s="19">
        <v>1.33</v>
      </c>
      <c r="E26" s="19">
        <v>4.53</v>
      </c>
    </row>
    <row r="27" spans="1:6" ht="16.5" customHeight="1" x14ac:dyDescent="0.3">
      <c r="A27" s="17">
        <v>4</v>
      </c>
      <c r="B27" s="18">
        <v>3038014</v>
      </c>
      <c r="C27" s="18">
        <v>6497.98</v>
      </c>
      <c r="D27" s="19">
        <v>1.33</v>
      </c>
      <c r="E27" s="19">
        <v>4.53</v>
      </c>
    </row>
    <row r="28" spans="1:6" ht="16.5" customHeight="1" x14ac:dyDescent="0.3">
      <c r="A28" s="17">
        <v>5</v>
      </c>
      <c r="B28" s="18">
        <v>3031915</v>
      </c>
      <c r="C28" s="18">
        <v>6535.4</v>
      </c>
      <c r="D28" s="19">
        <v>1.32</v>
      </c>
      <c r="E28" s="19">
        <v>4.53</v>
      </c>
    </row>
    <row r="29" spans="1:6" ht="16.5" customHeight="1" x14ac:dyDescent="0.3">
      <c r="A29" s="17">
        <v>6</v>
      </c>
      <c r="B29" s="21">
        <v>3037831</v>
      </c>
      <c r="C29" s="21">
        <v>6535.47</v>
      </c>
      <c r="D29" s="22">
        <v>1.3</v>
      </c>
      <c r="E29" s="22">
        <v>4.53</v>
      </c>
    </row>
    <row r="30" spans="1:6" ht="16.5" customHeight="1" x14ac:dyDescent="0.3">
      <c r="A30" s="23" t="s">
        <v>17</v>
      </c>
      <c r="B30" s="24">
        <f>AVERAGE(B24:B29)</f>
        <v>3016202</v>
      </c>
      <c r="C30" s="25">
        <f>AVERAGE(C24:C29)</f>
        <v>6443.18</v>
      </c>
      <c r="D30" s="26">
        <f>AVERAGE(D24:D29)</f>
        <v>1.32</v>
      </c>
      <c r="E30" s="26">
        <f>AVERAGE(E24:E29)</f>
        <v>4.53</v>
      </c>
    </row>
    <row r="31" spans="1:6" ht="16.5" customHeight="1" x14ac:dyDescent="0.3">
      <c r="A31" s="27" t="s">
        <v>18</v>
      </c>
      <c r="B31" s="28">
        <f>(STDEV(B24:B29)/B30)</f>
        <v>7.2667574060197287E-3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</v>
      </c>
    </row>
    <row r="39" spans="1:6" ht="16.5" customHeight="1" x14ac:dyDescent="0.3">
      <c r="A39" s="11" t="s">
        <v>4</v>
      </c>
      <c r="B39" s="8" t="s">
        <v>129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99.03</v>
      </c>
      <c r="C40" s="10"/>
      <c r="D40" s="10"/>
      <c r="E40" s="10"/>
    </row>
    <row r="41" spans="1:6" ht="16.5" customHeight="1" x14ac:dyDescent="0.3">
      <c r="A41" s="7" t="s">
        <v>8</v>
      </c>
      <c r="B41" s="12">
        <v>22.01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3.5216000000000004E-2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2611083</v>
      </c>
      <c r="C45" s="18">
        <v>3484.4</v>
      </c>
      <c r="D45" s="19">
        <v>1.8</v>
      </c>
      <c r="E45" s="20">
        <v>5.7</v>
      </c>
    </row>
    <row r="46" spans="1:6" ht="16.5" customHeight="1" x14ac:dyDescent="0.3">
      <c r="A46" s="17">
        <v>2</v>
      </c>
      <c r="B46" s="18">
        <v>2625178</v>
      </c>
      <c r="C46" s="18">
        <v>3472.9</v>
      </c>
      <c r="D46" s="19">
        <v>1.8</v>
      </c>
      <c r="E46" s="19">
        <v>5.7</v>
      </c>
    </row>
    <row r="47" spans="1:6" ht="16.5" customHeight="1" x14ac:dyDescent="0.3">
      <c r="A47" s="17">
        <v>3</v>
      </c>
      <c r="B47" s="18">
        <v>2605574</v>
      </c>
      <c r="C47" s="18">
        <v>3471.4</v>
      </c>
      <c r="D47" s="19">
        <v>1.8</v>
      </c>
      <c r="E47" s="19">
        <v>5.7</v>
      </c>
    </row>
    <row r="48" spans="1:6" ht="16.5" customHeight="1" x14ac:dyDescent="0.3">
      <c r="A48" s="17">
        <v>4</v>
      </c>
      <c r="B48" s="18">
        <v>2596447</v>
      </c>
      <c r="C48" s="18">
        <v>3462.7</v>
      </c>
      <c r="D48" s="19">
        <v>1.8</v>
      </c>
      <c r="E48" s="19">
        <v>5.7</v>
      </c>
    </row>
    <row r="49" spans="1:7" ht="16.5" customHeight="1" x14ac:dyDescent="0.3">
      <c r="A49" s="17">
        <v>5</v>
      </c>
      <c r="B49" s="18">
        <v>2610125</v>
      </c>
      <c r="C49" s="18">
        <v>3443</v>
      </c>
      <c r="D49" s="19">
        <v>1.8</v>
      </c>
      <c r="E49" s="19">
        <v>5.7</v>
      </c>
    </row>
    <row r="50" spans="1:7" ht="16.5" customHeight="1" x14ac:dyDescent="0.3">
      <c r="A50" s="17">
        <v>6</v>
      </c>
      <c r="B50" s="21">
        <v>2606088</v>
      </c>
      <c r="C50" s="21">
        <v>3451.3</v>
      </c>
      <c r="D50" s="22">
        <v>1.8</v>
      </c>
      <c r="E50" s="22">
        <v>5.7</v>
      </c>
    </row>
    <row r="51" spans="1:7" ht="16.5" customHeight="1" x14ac:dyDescent="0.3">
      <c r="A51" s="23" t="s">
        <v>17</v>
      </c>
      <c r="B51" s="24">
        <f>AVERAGE(B45:B50)</f>
        <v>2609082.5</v>
      </c>
      <c r="C51" s="25">
        <f>AVERAGE(C45:C50)</f>
        <v>3464.2833333333333</v>
      </c>
      <c r="D51" s="26">
        <f>AVERAGE(D45:D50)</f>
        <v>1.8</v>
      </c>
      <c r="E51" s="26">
        <f>AVERAGE(E45:E50)</f>
        <v>5.7</v>
      </c>
    </row>
    <row r="52" spans="1:7" ht="16.5" customHeight="1" x14ac:dyDescent="0.3">
      <c r="A52" s="27" t="s">
        <v>18</v>
      </c>
      <c r="B52" s="28">
        <f>(STDEV(B45:B50)/B51)</f>
        <v>3.6161741970543678E-3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3" t="s">
        <v>24</v>
      </c>
      <c r="C59" s="29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D50" sqref="D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7" t="s">
        <v>29</v>
      </c>
      <c r="B11" s="298"/>
      <c r="C11" s="298"/>
      <c r="D11" s="298"/>
      <c r="E11" s="298"/>
      <c r="F11" s="299"/>
      <c r="G11" s="91"/>
    </row>
    <row r="12" spans="1:7" ht="16.5" customHeight="1" x14ac:dyDescent="0.3">
      <c r="A12" s="296" t="s">
        <v>30</v>
      </c>
      <c r="B12" s="296"/>
      <c r="C12" s="296"/>
      <c r="D12" s="296"/>
      <c r="E12" s="296"/>
      <c r="F12" s="296"/>
      <c r="G12" s="90"/>
    </row>
    <row r="14" spans="1:7" ht="16.5" customHeight="1" x14ac:dyDescent="0.3">
      <c r="A14" s="301" t="s">
        <v>31</v>
      </c>
      <c r="B14" s="301"/>
      <c r="C14" s="60" t="s">
        <v>5</v>
      </c>
    </row>
    <row r="15" spans="1:7" ht="16.5" customHeight="1" x14ac:dyDescent="0.3">
      <c r="A15" s="301" t="s">
        <v>32</v>
      </c>
      <c r="B15" s="301"/>
      <c r="C15" s="60" t="s">
        <v>7</v>
      </c>
    </row>
    <row r="16" spans="1:7" ht="16.5" customHeight="1" x14ac:dyDescent="0.3">
      <c r="A16" s="301" t="s">
        <v>33</v>
      </c>
      <c r="B16" s="301"/>
      <c r="C16" s="60" t="s">
        <v>9</v>
      </c>
    </row>
    <row r="17" spans="1:5" ht="16.5" customHeight="1" x14ac:dyDescent="0.3">
      <c r="A17" s="301" t="s">
        <v>34</v>
      </c>
      <c r="B17" s="301"/>
      <c r="C17" s="60" t="s">
        <v>9</v>
      </c>
    </row>
    <row r="18" spans="1:5" ht="16.5" customHeight="1" x14ac:dyDescent="0.3">
      <c r="A18" s="301" t="s">
        <v>35</v>
      </c>
      <c r="B18" s="301"/>
      <c r="C18" s="97" t="s">
        <v>11</v>
      </c>
    </row>
    <row r="19" spans="1:5" ht="16.5" customHeight="1" x14ac:dyDescent="0.3">
      <c r="A19" s="301" t="s">
        <v>36</v>
      </c>
      <c r="B19" s="30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6" t="s">
        <v>1</v>
      </c>
      <c r="B21" s="296"/>
      <c r="C21" s="59" t="s">
        <v>37</v>
      </c>
      <c r="D21" s="66"/>
    </row>
    <row r="22" spans="1:5" ht="15.75" customHeight="1" x14ac:dyDescent="0.3">
      <c r="A22" s="300"/>
      <c r="B22" s="300"/>
      <c r="C22" s="57"/>
      <c r="D22" s="300"/>
      <c r="E22" s="300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1076.29</v>
      </c>
      <c r="D24" s="87">
        <f t="shared" ref="D24:D43" si="0">(C24-$C$46)/$C$46</f>
        <v>-5.5323149561916692E-3</v>
      </c>
      <c r="E24" s="53"/>
    </row>
    <row r="25" spans="1:5" ht="15.75" customHeight="1" x14ac:dyDescent="0.3">
      <c r="C25" s="95">
        <v>1087.71</v>
      </c>
      <c r="D25" s="88">
        <f t="shared" si="0"/>
        <v>5.0195074738228849E-3</v>
      </c>
      <c r="E25" s="53"/>
    </row>
    <row r="26" spans="1:5" ht="15.75" customHeight="1" x14ac:dyDescent="0.3">
      <c r="C26" s="95">
        <v>1087.75</v>
      </c>
      <c r="D26" s="88">
        <f t="shared" si="0"/>
        <v>5.0564665716512731E-3</v>
      </c>
      <c r="E26" s="53"/>
    </row>
    <row r="27" spans="1:5" ht="15.75" customHeight="1" x14ac:dyDescent="0.3">
      <c r="C27" s="95">
        <v>1081.6199999999999</v>
      </c>
      <c r="D27" s="88">
        <f t="shared" si="0"/>
        <v>-6.0751517055450204E-4</v>
      </c>
      <c r="E27" s="53"/>
    </row>
    <row r="28" spans="1:5" ht="15.75" customHeight="1" x14ac:dyDescent="0.3">
      <c r="C28" s="95">
        <v>1090.1300000000001</v>
      </c>
      <c r="D28" s="88">
        <f t="shared" si="0"/>
        <v>7.2555328924424839E-3</v>
      </c>
      <c r="E28" s="53"/>
    </row>
    <row r="29" spans="1:5" ht="15.75" customHeight="1" x14ac:dyDescent="0.3">
      <c r="C29" s="95">
        <v>1075.1400000000001</v>
      </c>
      <c r="D29" s="88">
        <f t="shared" si="0"/>
        <v>-6.5948890187586756E-3</v>
      </c>
      <c r="E29" s="53"/>
    </row>
    <row r="30" spans="1:5" ht="15.75" customHeight="1" x14ac:dyDescent="0.3">
      <c r="C30" s="95">
        <v>1066.17</v>
      </c>
      <c r="D30" s="88">
        <f t="shared" si="0"/>
        <v>-1.4882966706782338E-2</v>
      </c>
      <c r="E30" s="53"/>
    </row>
    <row r="31" spans="1:5" ht="15.75" customHeight="1" x14ac:dyDescent="0.3">
      <c r="C31" s="95">
        <v>1067.5899999999999</v>
      </c>
      <c r="D31" s="88">
        <f t="shared" si="0"/>
        <v>-1.35709187338735E-2</v>
      </c>
      <c r="E31" s="53"/>
    </row>
    <row r="32" spans="1:5" ht="15.75" customHeight="1" x14ac:dyDescent="0.3">
      <c r="C32" s="95">
        <v>1099.99</v>
      </c>
      <c r="D32" s="88">
        <f t="shared" si="0"/>
        <v>1.6365950507148418E-2</v>
      </c>
      <c r="E32" s="53"/>
    </row>
    <row r="33" spans="1:7" ht="15.75" customHeight="1" x14ac:dyDescent="0.3">
      <c r="C33" s="95">
        <v>1052.8</v>
      </c>
      <c r="D33" s="88">
        <f t="shared" si="0"/>
        <v>-2.7236545155932507E-2</v>
      </c>
      <c r="E33" s="53"/>
    </row>
    <row r="34" spans="1:7" ht="15.75" customHeight="1" x14ac:dyDescent="0.3">
      <c r="C34" s="95">
        <v>1095.73</v>
      </c>
      <c r="D34" s="88">
        <f t="shared" si="0"/>
        <v>1.2429806588421483E-2</v>
      </c>
      <c r="E34" s="53"/>
    </row>
    <row r="35" spans="1:7" ht="15.75" customHeight="1" x14ac:dyDescent="0.3">
      <c r="C35" s="95">
        <v>1086.6500000000001</v>
      </c>
      <c r="D35" s="88">
        <f t="shared" si="0"/>
        <v>4.0400913813697517E-3</v>
      </c>
      <c r="E35" s="53"/>
    </row>
    <row r="36" spans="1:7" ht="15.75" customHeight="1" x14ac:dyDescent="0.3">
      <c r="C36" s="95">
        <v>1095.8800000000001</v>
      </c>
      <c r="D36" s="88">
        <f t="shared" si="0"/>
        <v>1.2568403205278149E-2</v>
      </c>
      <c r="E36" s="53"/>
    </row>
    <row r="37" spans="1:7" ht="15.75" customHeight="1" x14ac:dyDescent="0.3">
      <c r="C37" s="95">
        <v>1061.8599999999999</v>
      </c>
      <c r="D37" s="88">
        <f t="shared" si="0"/>
        <v>-1.8865309497794972E-2</v>
      </c>
      <c r="E37" s="53"/>
    </row>
    <row r="38" spans="1:7" ht="15.75" customHeight="1" x14ac:dyDescent="0.3">
      <c r="C38" s="95">
        <v>1100.27</v>
      </c>
      <c r="D38" s="88">
        <f t="shared" si="0"/>
        <v>1.6624664191947348E-2</v>
      </c>
      <c r="E38" s="53"/>
    </row>
    <row r="39" spans="1:7" ht="15.75" customHeight="1" x14ac:dyDescent="0.3">
      <c r="C39" s="95">
        <v>1092.71</v>
      </c>
      <c r="D39" s="88">
        <f t="shared" si="0"/>
        <v>9.6393947023756376E-3</v>
      </c>
      <c r="E39" s="53"/>
    </row>
    <row r="40" spans="1:7" ht="15.75" customHeight="1" x14ac:dyDescent="0.3">
      <c r="C40" s="95">
        <v>1070.22</v>
      </c>
      <c r="D40" s="88">
        <f t="shared" si="0"/>
        <v>-1.1140858051654651E-2</v>
      </c>
      <c r="E40" s="53"/>
    </row>
    <row r="41" spans="1:7" ht="15.75" customHeight="1" x14ac:dyDescent="0.3">
      <c r="C41" s="95">
        <v>1091.58</v>
      </c>
      <c r="D41" s="88">
        <f t="shared" si="0"/>
        <v>8.5953001887226141E-3</v>
      </c>
      <c r="E41" s="53"/>
    </row>
    <row r="42" spans="1:7" ht="15.75" customHeight="1" x14ac:dyDescent="0.3">
      <c r="C42" s="95">
        <v>1092.52</v>
      </c>
      <c r="D42" s="88">
        <f t="shared" si="0"/>
        <v>9.4638389876905826E-3</v>
      </c>
      <c r="E42" s="53"/>
    </row>
    <row r="43" spans="1:7" ht="16.5" customHeight="1" x14ac:dyDescent="0.3">
      <c r="C43" s="96">
        <v>1072.94</v>
      </c>
      <c r="D43" s="89">
        <f t="shared" si="0"/>
        <v>-8.6276393993219291E-3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21645.549999999996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1082.2774999999997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94">
        <f>C46</f>
        <v>1082.2774999999997</v>
      </c>
      <c r="C49" s="93">
        <f>-IF(C46&lt;=80,10%,IF(C46&lt;250,7.5%,5%))</f>
        <v>-0.05</v>
      </c>
      <c r="D49" s="81">
        <f>IF(C46&lt;=80,C46*0.9,IF(C46&lt;250,C46*0.925,C46*0.95))</f>
        <v>1028.1636249999997</v>
      </c>
    </row>
    <row r="50" spans="1:6" ht="17.25" customHeight="1" x14ac:dyDescent="0.3">
      <c r="B50" s="295"/>
      <c r="C50" s="94">
        <f>IF(C46&lt;=80, 10%, IF(C46&lt;250, 7.5%, 5%))</f>
        <v>0.05</v>
      </c>
      <c r="D50" s="81">
        <f>IF(C46&lt;=80, C46*1.1, IF(C46&lt;250, C46*1.075, C46*1.05))</f>
        <v>1136.3913749999997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5" zoomScale="42" zoomScaleNormal="40" zoomScalePageLayoutView="42" workbookViewId="0">
      <selection activeCell="A129" sqref="A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2" t="s">
        <v>43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 x14ac:dyDescent="0.25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 x14ac:dyDescent="0.25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 x14ac:dyDescent="0.25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 x14ac:dyDescent="0.25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 x14ac:dyDescent="0.25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 x14ac:dyDescent="0.25">
      <c r="A7" s="302"/>
      <c r="B7" s="302"/>
      <c r="C7" s="302"/>
      <c r="D7" s="302"/>
      <c r="E7" s="302"/>
      <c r="F7" s="302"/>
      <c r="G7" s="302"/>
      <c r="H7" s="302"/>
      <c r="I7" s="302"/>
    </row>
    <row r="8" spans="1:9" x14ac:dyDescent="0.25">
      <c r="A8" s="303" t="s">
        <v>44</v>
      </c>
      <c r="B8" s="303"/>
      <c r="C8" s="303"/>
      <c r="D8" s="303"/>
      <c r="E8" s="303"/>
      <c r="F8" s="303"/>
      <c r="G8" s="303"/>
      <c r="H8" s="303"/>
      <c r="I8" s="303"/>
    </row>
    <row r="9" spans="1:9" x14ac:dyDescent="0.25">
      <c r="A9" s="303"/>
      <c r="B9" s="303"/>
      <c r="C9" s="303"/>
      <c r="D9" s="303"/>
      <c r="E9" s="303"/>
      <c r="F9" s="303"/>
      <c r="G9" s="303"/>
      <c r="H9" s="303"/>
      <c r="I9" s="303"/>
    </row>
    <row r="10" spans="1:9" x14ac:dyDescent="0.25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 x14ac:dyDescent="0.25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 x14ac:dyDescent="0.25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 x14ac:dyDescent="0.25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 x14ac:dyDescent="0.25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x14ac:dyDescent="0.3">
      <c r="A15" s="98"/>
    </row>
    <row r="16" spans="1:9" ht="19.5" customHeight="1" x14ac:dyDescent="0.3">
      <c r="A16" s="335" t="s">
        <v>29</v>
      </c>
      <c r="B16" s="336"/>
      <c r="C16" s="336"/>
      <c r="D16" s="336"/>
      <c r="E16" s="336"/>
      <c r="F16" s="336"/>
      <c r="G16" s="336"/>
      <c r="H16" s="337"/>
    </row>
    <row r="17" spans="1:14" ht="20.25" customHeight="1" x14ac:dyDescent="0.25">
      <c r="A17" s="338" t="s">
        <v>45</v>
      </c>
      <c r="B17" s="338"/>
      <c r="C17" s="338"/>
      <c r="D17" s="338"/>
      <c r="E17" s="338"/>
      <c r="F17" s="338"/>
      <c r="G17" s="338"/>
      <c r="H17" s="338"/>
    </row>
    <row r="18" spans="1:14" ht="26.25" customHeight="1" x14ac:dyDescent="0.4">
      <c r="A18" s="100" t="s">
        <v>31</v>
      </c>
      <c r="B18" s="334" t="s">
        <v>5</v>
      </c>
      <c r="C18" s="334"/>
      <c r="D18" s="246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9" t="s">
        <v>9</v>
      </c>
      <c r="C20" s="339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9" t="s">
        <v>9</v>
      </c>
      <c r="C21" s="339"/>
      <c r="D21" s="339"/>
      <c r="E21" s="339"/>
      <c r="F21" s="339"/>
      <c r="G21" s="339"/>
      <c r="H21" s="339"/>
      <c r="I21" s="104"/>
    </row>
    <row r="22" spans="1:14" ht="26.25" customHeight="1" x14ac:dyDescent="0.4">
      <c r="A22" s="100" t="s">
        <v>35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4" t="s">
        <v>130</v>
      </c>
      <c r="C26" s="334"/>
    </row>
    <row r="27" spans="1:14" ht="26.25" customHeight="1" x14ac:dyDescent="0.4">
      <c r="A27" s="109" t="s">
        <v>46</v>
      </c>
      <c r="B27" s="340" t="s">
        <v>135</v>
      </c>
      <c r="C27" s="340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47</v>
      </c>
      <c r="B29" s="111">
        <v>0</v>
      </c>
      <c r="C29" s="310" t="s">
        <v>48</v>
      </c>
      <c r="D29" s="311"/>
      <c r="E29" s="311"/>
      <c r="F29" s="311"/>
      <c r="G29" s="312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13" t="s">
        <v>51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13" t="s">
        <v>53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16" t="s">
        <v>57</v>
      </c>
      <c r="E36" s="341"/>
      <c r="F36" s="316" t="s">
        <v>58</v>
      </c>
      <c r="G36" s="31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41703355</v>
      </c>
      <c r="E38" s="133">
        <f>IF(ISBLANK(D38),"-",$D$48/$D$45*D38)</f>
        <v>38528157.995237261</v>
      </c>
      <c r="F38" s="132">
        <v>38747544</v>
      </c>
      <c r="G38" s="134">
        <f>IF(ISBLANK(F38),"-",$D$48/$F$45*F38)</f>
        <v>37853473.349587753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41727520</v>
      </c>
      <c r="E39" s="138">
        <f>IF(ISBLANK(D39),"-",$D$48/$D$45*D39)</f>
        <v>38550483.128022261</v>
      </c>
      <c r="F39" s="137">
        <v>39087917</v>
      </c>
      <c r="G39" s="139">
        <f>IF(ISBLANK(F39),"-",$D$48/$F$45*F39)</f>
        <v>38185992.496721812</v>
      </c>
      <c r="I39" s="318">
        <f>ABS((F43/D43*D42)-F42)/D42</f>
        <v>1.1381642005105773E-2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41800435</v>
      </c>
      <c r="E40" s="138">
        <f>IF(ISBLANK(D40),"-",$D$48/$D$45*D40)</f>
        <v>38617846.548548564</v>
      </c>
      <c r="F40" s="137">
        <v>39168353</v>
      </c>
      <c r="G40" s="139">
        <f>IF(ISBLANK(F40),"-",$D$48/$F$45*F40)</f>
        <v>38264572.496072151</v>
      </c>
      <c r="I40" s="318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41743770</v>
      </c>
      <c r="E42" s="148">
        <f>AVERAGE(E38:E41)</f>
        <v>38565495.890602693</v>
      </c>
      <c r="F42" s="147">
        <f>AVERAGE(F38:F41)</f>
        <v>39001271.333333336</v>
      </c>
      <c r="G42" s="149">
        <f>AVERAGE(G38:G41)</f>
        <v>38101346.114127241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17.489999999999998</v>
      </c>
      <c r="E43" s="140"/>
      <c r="F43" s="152">
        <v>16.54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17.489999999999998</v>
      </c>
      <c r="E44" s="155"/>
      <c r="F44" s="154">
        <f>F43*$B$34</f>
        <v>16.54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17.318597999999998</v>
      </c>
      <c r="E45" s="158"/>
      <c r="F45" s="157">
        <f>F44*$B$30/100</f>
        <v>16.377907999999998</v>
      </c>
      <c r="H45" s="150"/>
    </row>
    <row r="46" spans="1:14" ht="19.5" customHeight="1" x14ac:dyDescent="0.3">
      <c r="A46" s="304" t="s">
        <v>76</v>
      </c>
      <c r="B46" s="305"/>
      <c r="C46" s="153" t="s">
        <v>77</v>
      </c>
      <c r="D46" s="159">
        <f>D45/$B$45</f>
        <v>0.17318597999999999</v>
      </c>
      <c r="E46" s="160"/>
      <c r="F46" s="161">
        <f>F45/$B$45</f>
        <v>0.16377907999999997</v>
      </c>
      <c r="H46" s="150"/>
    </row>
    <row r="47" spans="1:14" ht="27" customHeight="1" x14ac:dyDescent="0.4">
      <c r="A47" s="306"/>
      <c r="B47" s="307"/>
      <c r="C47" s="162" t="s">
        <v>78</v>
      </c>
      <c r="D47" s="163">
        <v>0.16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16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38333421.002364963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7.5855150573100171E-3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Sulphamethoxazole 800 mg, Trimethoprim 160 mg</v>
      </c>
    </row>
    <row r="56" spans="1:12" ht="26.25" customHeight="1" x14ac:dyDescent="0.4">
      <c r="A56" s="177" t="s">
        <v>85</v>
      </c>
      <c r="B56" s="178">
        <v>800</v>
      </c>
      <c r="C56" s="99" t="str">
        <f>B20</f>
        <v>Sulphamethoxazole 800 mg, Trimethoprim 160 mg</v>
      </c>
      <c r="H56" s="179"/>
    </row>
    <row r="57" spans="1:12" ht="18.75" x14ac:dyDescent="0.3">
      <c r="A57" s="176" t="s">
        <v>86</v>
      </c>
      <c r="B57" s="247">
        <f>Uniformity!C46</f>
        <v>1082.2774999999997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321" t="s">
        <v>92</v>
      </c>
      <c r="D60" s="324">
        <v>1084.53</v>
      </c>
      <c r="E60" s="182">
        <v>1</v>
      </c>
      <c r="F60" s="183">
        <v>36509972</v>
      </c>
      <c r="G60" s="248">
        <f>IF(ISBLANK(F60),"-",(F60/$D$50*$D$47*$B$68)*($B$57/$D$60))</f>
        <v>760.36298669718008</v>
      </c>
      <c r="H60" s="266">
        <f t="shared" ref="H60:H71" si="0">IF(ISBLANK(F60),"-",(G60/$B$56)*100)</f>
        <v>95.04537333714751</v>
      </c>
      <c r="L60" s="112"/>
    </row>
    <row r="61" spans="1:12" s="14" customFormat="1" ht="26.25" customHeight="1" x14ac:dyDescent="0.4">
      <c r="A61" s="124" t="s">
        <v>93</v>
      </c>
      <c r="B61" s="125">
        <v>100</v>
      </c>
      <c r="C61" s="322"/>
      <c r="D61" s="325"/>
      <c r="E61" s="184">
        <v>2</v>
      </c>
      <c r="F61" s="137">
        <v>35891449</v>
      </c>
      <c r="G61" s="249">
        <f>IF(ISBLANK(F61),"-",(F61/$D$50*$D$47*$B$68)*($B$57/$D$60))</f>
        <v>747.48151980312457</v>
      </c>
      <c r="H61" s="267">
        <f t="shared" si="0"/>
        <v>93.435189975390571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22"/>
      <c r="D62" s="325"/>
      <c r="E62" s="184">
        <v>3</v>
      </c>
      <c r="F62" s="185">
        <v>35826747</v>
      </c>
      <c r="G62" s="249">
        <f>IF(ISBLANK(F62),"-",(F62/$D$50*$D$47*$B$68)*($B$57/$D$60))</f>
        <v>746.13402476902036</v>
      </c>
      <c r="H62" s="267">
        <f t="shared" si="0"/>
        <v>93.266753096127545</v>
      </c>
      <c r="L62" s="112"/>
    </row>
    <row r="63" spans="1:12" ht="27" customHeight="1" x14ac:dyDescent="0.4">
      <c r="A63" s="124" t="s">
        <v>95</v>
      </c>
      <c r="B63" s="125">
        <v>1</v>
      </c>
      <c r="C63" s="331"/>
      <c r="D63" s="32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21" t="s">
        <v>97</v>
      </c>
      <c r="D64" s="324">
        <v>1074.52</v>
      </c>
      <c r="E64" s="182">
        <v>1</v>
      </c>
      <c r="F64" s="183">
        <v>36407394</v>
      </c>
      <c r="G64" s="248">
        <f>IF(ISBLANK(F64),"-",(F64/$D$50*$D$47*$B$68)*($B$57/$D$64))</f>
        <v>765.29015817554114</v>
      </c>
      <c r="H64" s="266">
        <f t="shared" si="0"/>
        <v>95.661269771942642</v>
      </c>
    </row>
    <row r="65" spans="1:8" ht="26.25" customHeight="1" x14ac:dyDescent="0.4">
      <c r="A65" s="124" t="s">
        <v>98</v>
      </c>
      <c r="B65" s="125">
        <v>1</v>
      </c>
      <c r="C65" s="322"/>
      <c r="D65" s="325"/>
      <c r="E65" s="184">
        <v>2</v>
      </c>
      <c r="F65" s="137">
        <v>36010779</v>
      </c>
      <c r="G65" s="249">
        <f>IF(ISBLANK(F65),"-",(F65/$D$50*$D$47*$B$68)*($B$57/$D$64))</f>
        <v>756.95323749166039</v>
      </c>
      <c r="H65" s="267">
        <f t="shared" si="0"/>
        <v>94.619154686457549</v>
      </c>
    </row>
    <row r="66" spans="1:8" ht="26.25" customHeight="1" x14ac:dyDescent="0.4">
      <c r="A66" s="124" t="s">
        <v>99</v>
      </c>
      <c r="B66" s="125">
        <v>1</v>
      </c>
      <c r="C66" s="322"/>
      <c r="D66" s="325"/>
      <c r="E66" s="184">
        <v>3</v>
      </c>
      <c r="F66" s="137">
        <v>36145629</v>
      </c>
      <c r="G66" s="249">
        <f>IF(ISBLANK(F66),"-",(F66/$D$50*$D$47*$B$68)*($B$57/$D$64))</f>
        <v>759.7878094423462</v>
      </c>
      <c r="H66" s="267">
        <f t="shared" si="0"/>
        <v>94.973476180293275</v>
      </c>
    </row>
    <row r="67" spans="1:8" ht="27" customHeight="1" x14ac:dyDescent="0.4">
      <c r="A67" s="124" t="s">
        <v>100</v>
      </c>
      <c r="B67" s="125">
        <v>1</v>
      </c>
      <c r="C67" s="331"/>
      <c r="D67" s="32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101</v>
      </c>
      <c r="B68" s="188">
        <f>(B67/B66)*(B65/B64)*(B63/B62)*(B61/B60)*B59</f>
        <v>5000</v>
      </c>
      <c r="C68" s="321" t="s">
        <v>102</v>
      </c>
      <c r="D68" s="324">
        <v>1092.51</v>
      </c>
      <c r="E68" s="182">
        <v>1</v>
      </c>
      <c r="F68" s="183">
        <v>36875911</v>
      </c>
      <c r="G68" s="248">
        <f>IF(ISBLANK(F68),"-",(F68/$D$50*$D$47*$B$68)*($B$57/$D$68))</f>
        <v>762.37452394184083</v>
      </c>
      <c r="H68" s="267">
        <f t="shared" si="0"/>
        <v>95.296815492730104</v>
      </c>
    </row>
    <row r="69" spans="1:8" ht="27" customHeight="1" x14ac:dyDescent="0.4">
      <c r="A69" s="172" t="s">
        <v>103</v>
      </c>
      <c r="B69" s="189">
        <f>(D47*B68)/B56*B57</f>
        <v>1082.2774999999997</v>
      </c>
      <c r="C69" s="322"/>
      <c r="D69" s="325"/>
      <c r="E69" s="184">
        <v>2</v>
      </c>
      <c r="F69" s="137">
        <v>36938714</v>
      </c>
      <c r="G69" s="249">
        <f>IF(ISBLANK(F69),"-",(F69/$D$50*$D$47*$B$68)*($B$57/$D$68))</f>
        <v>763.67291646771275</v>
      </c>
      <c r="H69" s="267">
        <f t="shared" si="0"/>
        <v>95.459114558464094</v>
      </c>
    </row>
    <row r="70" spans="1:8" ht="26.25" customHeight="1" x14ac:dyDescent="0.4">
      <c r="A70" s="327" t="s">
        <v>76</v>
      </c>
      <c r="B70" s="328"/>
      <c r="C70" s="322"/>
      <c r="D70" s="325"/>
      <c r="E70" s="184">
        <v>3</v>
      </c>
      <c r="F70" s="137">
        <v>36528488</v>
      </c>
      <c r="G70" s="249">
        <f>IF(ISBLANK(F70),"-",(F70/$D$50*$D$47*$B$68)*($B$57/$D$68))</f>
        <v>755.19188256298935</v>
      </c>
      <c r="H70" s="267">
        <f t="shared" si="0"/>
        <v>94.398985320373669</v>
      </c>
    </row>
    <row r="71" spans="1:8" ht="27" customHeight="1" x14ac:dyDescent="0.4">
      <c r="A71" s="329"/>
      <c r="B71" s="330"/>
      <c r="C71" s="323"/>
      <c r="D71" s="32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69</v>
      </c>
      <c r="G72" s="254">
        <f>AVERAGE(G60:G71)</f>
        <v>757.47211770571289</v>
      </c>
      <c r="H72" s="269">
        <f>AVERAGE(H60:H71)</f>
        <v>94.684014713214111</v>
      </c>
    </row>
    <row r="73" spans="1:8" ht="26.25" customHeight="1" x14ac:dyDescent="0.4">
      <c r="C73" s="190"/>
      <c r="D73" s="190"/>
      <c r="E73" s="190"/>
      <c r="F73" s="193" t="s">
        <v>82</v>
      </c>
      <c r="G73" s="253">
        <f>STDEV(G60:G71)/G72</f>
        <v>8.9922363676841355E-3</v>
      </c>
      <c r="H73" s="253">
        <f>STDEV(H60:H71)/H72</f>
        <v>8.9922363676841355E-3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19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104</v>
      </c>
      <c r="B76" s="197" t="s">
        <v>105</v>
      </c>
      <c r="C76" s="308" t="str">
        <f>B26</f>
        <v>sulfamethoxazole</v>
      </c>
      <c r="D76" s="308"/>
      <c r="E76" s="198" t="s">
        <v>106</v>
      </c>
      <c r="F76" s="198"/>
      <c r="G76" s="199">
        <f>H72</f>
        <v>94.684014713214111</v>
      </c>
      <c r="H76" s="200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42" t="str">
        <f>B26</f>
        <v>sulfamethoxazole</v>
      </c>
      <c r="C79" s="342"/>
    </row>
    <row r="80" spans="1:8" ht="26.25" customHeight="1" x14ac:dyDescent="0.4">
      <c r="A80" s="109" t="s">
        <v>46</v>
      </c>
      <c r="B80" s="342" t="s">
        <v>135</v>
      </c>
      <c r="C80" s="342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47</v>
      </c>
      <c r="B82" s="111">
        <v>0</v>
      </c>
      <c r="C82" s="310" t="s">
        <v>48</v>
      </c>
      <c r="D82" s="311"/>
      <c r="E82" s="311"/>
      <c r="F82" s="311"/>
      <c r="G82" s="312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13" t="s">
        <v>109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13" t="s">
        <v>110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2" t="s">
        <v>57</v>
      </c>
      <c r="E89" s="203"/>
      <c r="F89" s="316" t="s">
        <v>58</v>
      </c>
      <c r="G89" s="317"/>
    </row>
    <row r="90" spans="1:12" ht="27" customHeight="1" x14ac:dyDescent="0.4">
      <c r="A90" s="124" t="s">
        <v>59</v>
      </c>
      <c r="B90" s="125">
        <v>1</v>
      </c>
      <c r="C90" s="204" t="s">
        <v>60</v>
      </c>
      <c r="D90" s="127" t="s">
        <v>61</v>
      </c>
      <c r="E90" s="128" t="s">
        <v>62</v>
      </c>
      <c r="F90" s="127" t="s">
        <v>61</v>
      </c>
      <c r="G90" s="205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06">
        <v>1</v>
      </c>
      <c r="D91" s="132">
        <v>39885895</v>
      </c>
      <c r="E91" s="133">
        <f>IF(ISBLANK(D91),"-",$D$101/$D$98*D91)</f>
        <v>43400021.898103096</v>
      </c>
      <c r="F91" s="132">
        <v>37673589</v>
      </c>
      <c r="G91" s="134">
        <f>IF(ISBLANK(F91),"-",$D$101/$F$98*F91)</f>
        <v>42944839.960715547</v>
      </c>
      <c r="I91" s="135"/>
    </row>
    <row r="92" spans="1:12" ht="26.25" customHeight="1" x14ac:dyDescent="0.4">
      <c r="A92" s="124" t="s">
        <v>65</v>
      </c>
      <c r="B92" s="125">
        <v>1</v>
      </c>
      <c r="C92" s="191">
        <v>2</v>
      </c>
      <c r="D92" s="137">
        <v>39839866</v>
      </c>
      <c r="E92" s="138">
        <f>IF(ISBLANK(D92),"-",$D$101/$D$98*D92)</f>
        <v>43349937.53600096</v>
      </c>
      <c r="F92" s="137">
        <v>37671623</v>
      </c>
      <c r="G92" s="139">
        <f>IF(ISBLANK(F92),"-",$D$101/$F$98*F92)</f>
        <v>42942598.879958339</v>
      </c>
      <c r="I92" s="318">
        <f>ABS((F96/D96*D95)-F95)/D95</f>
        <v>9.2915207164762023E-3</v>
      </c>
    </row>
    <row r="93" spans="1:12" ht="26.25" customHeight="1" x14ac:dyDescent="0.4">
      <c r="A93" s="124" t="s">
        <v>66</v>
      </c>
      <c r="B93" s="125">
        <v>1</v>
      </c>
      <c r="C93" s="191">
        <v>3</v>
      </c>
      <c r="D93" s="137">
        <v>39957505</v>
      </c>
      <c r="E93" s="138">
        <f>IF(ISBLANK(D93),"-",$D$101/$D$98*D93)</f>
        <v>43477941.061459549</v>
      </c>
      <c r="F93" s="137">
        <v>37785866</v>
      </c>
      <c r="G93" s="139">
        <f>IF(ISBLANK(F93),"-",$D$101/$F$98*F93)</f>
        <v>43072826.646461606</v>
      </c>
      <c r="I93" s="318"/>
    </row>
    <row r="94" spans="1:12" ht="27" customHeight="1" x14ac:dyDescent="0.4">
      <c r="A94" s="124" t="s">
        <v>67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09" t="s">
        <v>69</v>
      </c>
      <c r="D95" s="210">
        <f>AVERAGE(D91:D94)</f>
        <v>39894422</v>
      </c>
      <c r="E95" s="148">
        <f>AVERAGE(E91:E94)</f>
        <v>43409300.165187865</v>
      </c>
      <c r="F95" s="211">
        <f>AVERAGE(F91:F94)</f>
        <v>37710359.333333336</v>
      </c>
      <c r="G95" s="212">
        <f>AVERAGE(G91:G94)</f>
        <v>42986755.162378497</v>
      </c>
    </row>
    <row r="96" spans="1:12" ht="26.25" customHeight="1" x14ac:dyDescent="0.4">
      <c r="A96" s="124" t="s">
        <v>70</v>
      </c>
      <c r="B96" s="110">
        <v>1</v>
      </c>
      <c r="C96" s="213" t="s">
        <v>111</v>
      </c>
      <c r="D96" s="214">
        <v>16.5</v>
      </c>
      <c r="E96" s="140"/>
      <c r="F96" s="152">
        <v>15.75</v>
      </c>
    </row>
    <row r="97" spans="1:10" ht="26.25" customHeight="1" x14ac:dyDescent="0.4">
      <c r="A97" s="124" t="s">
        <v>72</v>
      </c>
      <c r="B97" s="110">
        <v>1</v>
      </c>
      <c r="C97" s="215" t="s">
        <v>112</v>
      </c>
      <c r="D97" s="216">
        <f>D96*$B$87</f>
        <v>16.5</v>
      </c>
      <c r="E97" s="155"/>
      <c r="F97" s="154">
        <f>F96*$B$87</f>
        <v>15.75</v>
      </c>
    </row>
    <row r="98" spans="1:10" ht="19.5" customHeight="1" x14ac:dyDescent="0.3">
      <c r="A98" s="124" t="s">
        <v>74</v>
      </c>
      <c r="B98" s="217">
        <f>(B97/B96)*(B95/B94)*(B93/B92)*(B91/B90)*B89</f>
        <v>100</v>
      </c>
      <c r="C98" s="215" t="s">
        <v>113</v>
      </c>
      <c r="D98" s="218">
        <f>D97*$B$83/100</f>
        <v>16.3383</v>
      </c>
      <c r="E98" s="158"/>
      <c r="F98" s="157">
        <f>F97*$B$83/100</f>
        <v>15.595649999999999</v>
      </c>
    </row>
    <row r="99" spans="1:10" ht="19.5" customHeight="1" x14ac:dyDescent="0.3">
      <c r="A99" s="304" t="s">
        <v>76</v>
      </c>
      <c r="B99" s="319"/>
      <c r="C99" s="215" t="s">
        <v>114</v>
      </c>
      <c r="D99" s="219">
        <f>D98/$B$98</f>
        <v>0.163383</v>
      </c>
      <c r="E99" s="158"/>
      <c r="F99" s="161">
        <f>F98/$B$98</f>
        <v>0.1559565</v>
      </c>
      <c r="G99" s="220"/>
      <c r="H99" s="150"/>
    </row>
    <row r="100" spans="1:10" ht="19.5" customHeight="1" x14ac:dyDescent="0.3">
      <c r="A100" s="306"/>
      <c r="B100" s="320"/>
      <c r="C100" s="215" t="s">
        <v>78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79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80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115</v>
      </c>
      <c r="D103" s="227">
        <f>AVERAGE(E91:E94,G91:G94)</f>
        <v>43198027.663783185</v>
      </c>
      <c r="F103" s="170"/>
      <c r="G103" s="228"/>
      <c r="H103" s="150"/>
      <c r="J103" s="229"/>
    </row>
    <row r="104" spans="1:10" ht="18.75" x14ac:dyDescent="0.3">
      <c r="C104" s="193" t="s">
        <v>82</v>
      </c>
      <c r="D104" s="230">
        <f>STDEV(E91:E94,G91:G94)/D103</f>
        <v>5.5485989711433854E-3</v>
      </c>
      <c r="F104" s="170"/>
      <c r="G104" s="220"/>
      <c r="H104" s="150"/>
      <c r="J104" s="229"/>
    </row>
    <row r="105" spans="1:10" ht="19.5" customHeight="1" x14ac:dyDescent="0.3">
      <c r="C105" s="195" t="s">
        <v>19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116</v>
      </c>
      <c r="B107" s="123">
        <v>900</v>
      </c>
      <c r="C107" s="270" t="s">
        <v>117</v>
      </c>
      <c r="D107" s="270" t="s">
        <v>61</v>
      </c>
      <c r="E107" s="270" t="s">
        <v>118</v>
      </c>
      <c r="F107" s="232" t="s">
        <v>119</v>
      </c>
    </row>
    <row r="108" spans="1:10" ht="26.25" customHeight="1" x14ac:dyDescent="0.4">
      <c r="A108" s="124" t="s">
        <v>120</v>
      </c>
      <c r="B108" s="125">
        <v>10</v>
      </c>
      <c r="C108" s="275">
        <v>1</v>
      </c>
      <c r="D108" s="276">
        <v>37325961</v>
      </c>
      <c r="E108" s="250">
        <f t="shared" ref="E108:E113" si="1">IF(ISBLANK(D108),"-",D108/$D$103*$D$100*$B$116)</f>
        <v>691.25305980196367</v>
      </c>
      <c r="F108" s="277">
        <f t="shared" ref="F108:F113" si="2">IF(ISBLANK(D108), "-", (E108/$B$56)*100)</f>
        <v>86.406632475245459</v>
      </c>
    </row>
    <row r="109" spans="1:10" ht="26.25" customHeight="1" x14ac:dyDescent="0.4">
      <c r="A109" s="124" t="s">
        <v>93</v>
      </c>
      <c r="B109" s="125">
        <v>50</v>
      </c>
      <c r="C109" s="271">
        <v>2</v>
      </c>
      <c r="D109" s="273">
        <v>37582784</v>
      </c>
      <c r="E109" s="251">
        <f t="shared" si="1"/>
        <v>696.00925843212133</v>
      </c>
      <c r="F109" s="278">
        <f t="shared" si="2"/>
        <v>87.001157304015166</v>
      </c>
    </row>
    <row r="110" spans="1:10" ht="26.25" customHeight="1" x14ac:dyDescent="0.4">
      <c r="A110" s="124" t="s">
        <v>94</v>
      </c>
      <c r="B110" s="125">
        <v>1</v>
      </c>
      <c r="C110" s="271">
        <v>3</v>
      </c>
      <c r="D110" s="273">
        <v>37648387</v>
      </c>
      <c r="E110" s="251">
        <f t="shared" si="1"/>
        <v>697.22418427106209</v>
      </c>
      <c r="F110" s="278">
        <f t="shared" si="2"/>
        <v>87.153023033882761</v>
      </c>
    </row>
    <row r="111" spans="1:10" ht="26.25" customHeight="1" x14ac:dyDescent="0.4">
      <c r="A111" s="124" t="s">
        <v>95</v>
      </c>
      <c r="B111" s="125">
        <v>1</v>
      </c>
      <c r="C111" s="271">
        <v>4</v>
      </c>
      <c r="D111" s="273">
        <v>37634459</v>
      </c>
      <c r="E111" s="251">
        <f t="shared" si="1"/>
        <v>696.96624656875019</v>
      </c>
      <c r="F111" s="278">
        <f t="shared" si="2"/>
        <v>87.120780821093774</v>
      </c>
    </row>
    <row r="112" spans="1:10" ht="26.25" customHeight="1" x14ac:dyDescent="0.4">
      <c r="A112" s="124" t="s">
        <v>96</v>
      </c>
      <c r="B112" s="125">
        <v>1</v>
      </c>
      <c r="C112" s="271">
        <v>5</v>
      </c>
      <c r="D112" s="273">
        <v>37483055</v>
      </c>
      <c r="E112" s="251">
        <f t="shared" si="1"/>
        <v>694.16234077604304</v>
      </c>
      <c r="F112" s="278">
        <f t="shared" si="2"/>
        <v>86.77029259700538</v>
      </c>
    </row>
    <row r="113" spans="1:10" ht="27" customHeight="1" x14ac:dyDescent="0.4">
      <c r="A113" s="124" t="s">
        <v>98</v>
      </c>
      <c r="B113" s="125">
        <v>1</v>
      </c>
      <c r="C113" s="272">
        <v>6</v>
      </c>
      <c r="D113" s="274">
        <v>37419621</v>
      </c>
      <c r="E113" s="252">
        <f t="shared" si="1"/>
        <v>692.98758343769953</v>
      </c>
      <c r="F113" s="279">
        <f t="shared" si="2"/>
        <v>86.623447929712441</v>
      </c>
    </row>
    <row r="114" spans="1:10" ht="27" customHeight="1" x14ac:dyDescent="0.4">
      <c r="A114" s="124" t="s">
        <v>99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100</v>
      </c>
      <c r="B115" s="125">
        <v>1</v>
      </c>
      <c r="C115" s="233"/>
      <c r="D115" s="257" t="s">
        <v>69</v>
      </c>
      <c r="E115" s="259">
        <f>AVERAGE(E108:E113)</f>
        <v>694.76711221460664</v>
      </c>
      <c r="F115" s="281">
        <f>AVERAGE(F108:F113)</f>
        <v>86.84588902682583</v>
      </c>
    </row>
    <row r="116" spans="1:10" ht="27" customHeight="1" x14ac:dyDescent="0.4">
      <c r="A116" s="124" t="s">
        <v>101</v>
      </c>
      <c r="B116" s="156">
        <f>(B115/B114)*(B113/B112)*(B111/B110)*(B109/B108)*B107</f>
        <v>4500</v>
      </c>
      <c r="C116" s="234"/>
      <c r="D116" s="258" t="s">
        <v>82</v>
      </c>
      <c r="E116" s="256">
        <f>STDEV(E108:E113)/E115</f>
        <v>3.4241177279829725E-3</v>
      </c>
      <c r="F116" s="235">
        <f>STDEV(F108:F113)/F115</f>
        <v>3.4241177279829725E-3</v>
      </c>
      <c r="I116" s="98"/>
    </row>
    <row r="117" spans="1:10" ht="27" customHeight="1" x14ac:dyDescent="0.4">
      <c r="A117" s="304" t="s">
        <v>76</v>
      </c>
      <c r="B117" s="305"/>
      <c r="C117" s="236"/>
      <c r="D117" s="195" t="s">
        <v>19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6"/>
      <c r="B118" s="307"/>
      <c r="C118" s="98"/>
      <c r="D118" s="260"/>
      <c r="E118" s="332" t="s">
        <v>121</v>
      </c>
      <c r="F118" s="33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122</v>
      </c>
      <c r="E119" s="263">
        <f>MIN(E108:E113)</f>
        <v>691.25305980196367</v>
      </c>
      <c r="F119" s="282">
        <f>MIN(F108:F113)</f>
        <v>86.406632475245459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123</v>
      </c>
      <c r="E120" s="264">
        <f>MAX(E108:E113)</f>
        <v>697.22418427106209</v>
      </c>
      <c r="F120" s="283">
        <f>MAX(F108:F113)</f>
        <v>87.153023033882761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104</v>
      </c>
      <c r="B124" s="197" t="s">
        <v>124</v>
      </c>
      <c r="C124" s="308" t="str">
        <f>B26</f>
        <v>sulfamethoxazole</v>
      </c>
      <c r="D124" s="308"/>
      <c r="E124" s="198" t="s">
        <v>125</v>
      </c>
      <c r="F124" s="198"/>
      <c r="G124" s="284">
        <f>F115</f>
        <v>86.84588902682583</v>
      </c>
      <c r="H124" s="98"/>
      <c r="I124" s="98"/>
    </row>
    <row r="125" spans="1:10" ht="45.75" customHeight="1" x14ac:dyDescent="0.65">
      <c r="A125" s="108"/>
      <c r="B125" s="197" t="s">
        <v>126</v>
      </c>
      <c r="C125" s="109" t="s">
        <v>127</v>
      </c>
      <c r="D125" s="284">
        <f>MIN(F108:F113)</f>
        <v>86.406632475245459</v>
      </c>
      <c r="E125" s="209" t="s">
        <v>128</v>
      </c>
      <c r="F125" s="284">
        <f>MAX(F108:F113)</f>
        <v>87.153023033882761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9" t="s">
        <v>24</v>
      </c>
      <c r="C127" s="309"/>
      <c r="E127" s="204" t="s">
        <v>25</v>
      </c>
      <c r="F127" s="239"/>
      <c r="G127" s="309" t="s">
        <v>26</v>
      </c>
      <c r="H127" s="309"/>
    </row>
    <row r="128" spans="1:10" ht="69.95" customHeight="1" x14ac:dyDescent="0.3">
      <c r="A128" s="240" t="s">
        <v>27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28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1" zoomScale="42" zoomScaleNormal="40" zoomScalePageLayoutView="42" workbookViewId="0">
      <selection activeCell="A121" sqref="A121"/>
    </sheetView>
  </sheetViews>
  <sheetFormatPr defaultColWidth="9.140625" defaultRowHeight="13.5" x14ac:dyDescent="0.25"/>
  <cols>
    <col min="1" max="1" width="55.42578125" style="220" customWidth="1"/>
    <col min="2" max="2" width="33.7109375" style="220" customWidth="1"/>
    <col min="3" max="3" width="42.28515625" style="220" customWidth="1"/>
    <col min="4" max="4" width="30.5703125" style="220" customWidth="1"/>
    <col min="5" max="5" width="39.85546875" style="220" customWidth="1"/>
    <col min="6" max="6" width="30.7109375" style="220" customWidth="1"/>
    <col min="7" max="7" width="39.85546875" style="220" customWidth="1"/>
    <col min="8" max="8" width="30" style="220" customWidth="1"/>
    <col min="9" max="9" width="30.28515625" style="220" hidden="1" customWidth="1"/>
    <col min="10" max="10" width="30.42578125" style="220" customWidth="1"/>
    <col min="11" max="11" width="21.28515625" style="220" customWidth="1"/>
    <col min="12" max="12" width="9.140625" style="220"/>
    <col min="13" max="16384" width="9.140625" style="44"/>
  </cols>
  <sheetData>
    <row r="1" spans="1:9" ht="18.75" customHeight="1" x14ac:dyDescent="0.25">
      <c r="A1" s="302" t="s">
        <v>43</v>
      </c>
      <c r="B1" s="302"/>
      <c r="C1" s="302"/>
      <c r="D1" s="302"/>
      <c r="E1" s="302"/>
      <c r="F1" s="302"/>
      <c r="G1" s="302"/>
      <c r="H1" s="302"/>
      <c r="I1" s="302"/>
    </row>
    <row r="2" spans="1:9" ht="18.75" customHeight="1" x14ac:dyDescent="0.25">
      <c r="A2" s="302"/>
      <c r="B2" s="302"/>
      <c r="C2" s="302"/>
      <c r="D2" s="302"/>
      <c r="E2" s="302"/>
      <c r="F2" s="302"/>
      <c r="G2" s="302"/>
      <c r="H2" s="302"/>
      <c r="I2" s="302"/>
    </row>
    <row r="3" spans="1:9" ht="18.75" customHeight="1" x14ac:dyDescent="0.25">
      <c r="A3" s="302"/>
      <c r="B3" s="302"/>
      <c r="C3" s="302"/>
      <c r="D3" s="302"/>
      <c r="E3" s="302"/>
      <c r="F3" s="302"/>
      <c r="G3" s="302"/>
      <c r="H3" s="302"/>
      <c r="I3" s="302"/>
    </row>
    <row r="4" spans="1:9" ht="18.75" customHeight="1" x14ac:dyDescent="0.25">
      <c r="A4" s="302"/>
      <c r="B4" s="302"/>
      <c r="C4" s="302"/>
      <c r="D4" s="302"/>
      <c r="E4" s="302"/>
      <c r="F4" s="302"/>
      <c r="G4" s="302"/>
      <c r="H4" s="302"/>
      <c r="I4" s="302"/>
    </row>
    <row r="5" spans="1:9" ht="18.75" customHeight="1" x14ac:dyDescent="0.25">
      <c r="A5" s="302"/>
      <c r="B5" s="302"/>
      <c r="C5" s="302"/>
      <c r="D5" s="302"/>
      <c r="E5" s="302"/>
      <c r="F5" s="302"/>
      <c r="G5" s="302"/>
      <c r="H5" s="302"/>
      <c r="I5" s="302"/>
    </row>
    <row r="6" spans="1:9" ht="18.75" customHeight="1" x14ac:dyDescent="0.25">
      <c r="A6" s="302"/>
      <c r="B6" s="302"/>
      <c r="C6" s="302"/>
      <c r="D6" s="302"/>
      <c r="E6" s="302"/>
      <c r="F6" s="302"/>
      <c r="G6" s="302"/>
      <c r="H6" s="302"/>
      <c r="I6" s="302"/>
    </row>
    <row r="7" spans="1:9" ht="18.75" customHeight="1" x14ac:dyDescent="0.25">
      <c r="A7" s="302"/>
      <c r="B7" s="302"/>
      <c r="C7" s="302"/>
      <c r="D7" s="302"/>
      <c r="E7" s="302"/>
      <c r="F7" s="302"/>
      <c r="G7" s="302"/>
      <c r="H7" s="302"/>
      <c r="I7" s="302"/>
    </row>
    <row r="8" spans="1:9" x14ac:dyDescent="0.25">
      <c r="A8" s="303" t="s">
        <v>44</v>
      </c>
      <c r="B8" s="303"/>
      <c r="C8" s="303"/>
      <c r="D8" s="303"/>
      <c r="E8" s="303"/>
      <c r="F8" s="303"/>
      <c r="G8" s="303"/>
      <c r="H8" s="303"/>
      <c r="I8" s="303"/>
    </row>
    <row r="9" spans="1:9" x14ac:dyDescent="0.25">
      <c r="A9" s="303"/>
      <c r="B9" s="303"/>
      <c r="C9" s="303"/>
      <c r="D9" s="303"/>
      <c r="E9" s="303"/>
      <c r="F9" s="303"/>
      <c r="G9" s="303"/>
      <c r="H9" s="303"/>
      <c r="I9" s="303"/>
    </row>
    <row r="10" spans="1:9" x14ac:dyDescent="0.25">
      <c r="A10" s="303"/>
      <c r="B10" s="303"/>
      <c r="C10" s="303"/>
      <c r="D10" s="303"/>
      <c r="E10" s="303"/>
      <c r="F10" s="303"/>
      <c r="G10" s="303"/>
      <c r="H10" s="303"/>
      <c r="I10" s="303"/>
    </row>
    <row r="11" spans="1:9" x14ac:dyDescent="0.25">
      <c r="A11" s="303"/>
      <c r="B11" s="303"/>
      <c r="C11" s="303"/>
      <c r="D11" s="303"/>
      <c r="E11" s="303"/>
      <c r="F11" s="303"/>
      <c r="G11" s="303"/>
      <c r="H11" s="303"/>
      <c r="I11" s="303"/>
    </row>
    <row r="12" spans="1:9" x14ac:dyDescent="0.25">
      <c r="A12" s="303"/>
      <c r="B12" s="303"/>
      <c r="C12" s="303"/>
      <c r="D12" s="303"/>
      <c r="E12" s="303"/>
      <c r="F12" s="303"/>
      <c r="G12" s="303"/>
      <c r="H12" s="303"/>
      <c r="I12" s="303"/>
    </row>
    <row r="13" spans="1:9" x14ac:dyDescent="0.25">
      <c r="A13" s="303"/>
      <c r="B13" s="303"/>
      <c r="C13" s="303"/>
      <c r="D13" s="303"/>
      <c r="E13" s="303"/>
      <c r="F13" s="303"/>
      <c r="G13" s="303"/>
      <c r="H13" s="303"/>
      <c r="I13" s="303"/>
    </row>
    <row r="14" spans="1:9" x14ac:dyDescent="0.25">
      <c r="A14" s="303"/>
      <c r="B14" s="303"/>
      <c r="C14" s="303"/>
      <c r="D14" s="303"/>
      <c r="E14" s="303"/>
      <c r="F14" s="303"/>
      <c r="G14" s="303"/>
      <c r="H14" s="303"/>
      <c r="I14" s="303"/>
    </row>
    <row r="15" spans="1:9" ht="19.5" customHeight="1" thickBot="1" x14ac:dyDescent="0.35">
      <c r="A15" s="198"/>
    </row>
    <row r="16" spans="1:9" ht="19.5" customHeight="1" thickBot="1" x14ac:dyDescent="0.35">
      <c r="A16" s="335" t="s">
        <v>29</v>
      </c>
      <c r="B16" s="336"/>
      <c r="C16" s="336"/>
      <c r="D16" s="336"/>
      <c r="E16" s="336"/>
      <c r="F16" s="336"/>
      <c r="G16" s="336"/>
      <c r="H16" s="337"/>
    </row>
    <row r="17" spans="1:14" ht="20.25" customHeight="1" x14ac:dyDescent="0.25">
      <c r="A17" s="338" t="s">
        <v>45</v>
      </c>
      <c r="B17" s="338"/>
      <c r="C17" s="338"/>
      <c r="D17" s="338"/>
      <c r="E17" s="338"/>
      <c r="F17" s="338"/>
      <c r="G17" s="338"/>
      <c r="H17" s="338"/>
    </row>
    <row r="18" spans="1:14" ht="26.25" customHeight="1" x14ac:dyDescent="0.4">
      <c r="A18" s="100" t="s">
        <v>31</v>
      </c>
      <c r="B18" s="334" t="s">
        <v>5</v>
      </c>
      <c r="C18" s="334"/>
      <c r="D18" s="246"/>
      <c r="E18" s="101"/>
      <c r="F18" s="255"/>
      <c r="G18" s="255"/>
      <c r="H18" s="255"/>
    </row>
    <row r="19" spans="1:14" ht="26.25" customHeight="1" x14ac:dyDescent="0.4">
      <c r="A19" s="100" t="s">
        <v>32</v>
      </c>
      <c r="B19" s="289" t="s">
        <v>7</v>
      </c>
      <c r="C19" s="255">
        <v>1</v>
      </c>
      <c r="D19" s="255"/>
      <c r="E19" s="255"/>
      <c r="F19" s="255"/>
      <c r="G19" s="255"/>
      <c r="H19" s="255"/>
    </row>
    <row r="20" spans="1:14" ht="26.25" customHeight="1" x14ac:dyDescent="0.4">
      <c r="A20" s="100" t="s">
        <v>33</v>
      </c>
      <c r="B20" s="339" t="s">
        <v>9</v>
      </c>
      <c r="C20" s="339"/>
      <c r="D20" s="255"/>
      <c r="E20" s="255"/>
      <c r="F20" s="255"/>
      <c r="G20" s="255"/>
      <c r="H20" s="255"/>
    </row>
    <row r="21" spans="1:14" ht="26.25" customHeight="1" x14ac:dyDescent="0.4">
      <c r="A21" s="100" t="s">
        <v>34</v>
      </c>
      <c r="B21" s="339" t="s">
        <v>9</v>
      </c>
      <c r="C21" s="339"/>
      <c r="D21" s="339"/>
      <c r="E21" s="339"/>
      <c r="F21" s="339"/>
      <c r="G21" s="339"/>
      <c r="H21" s="339"/>
      <c r="I21" s="104"/>
    </row>
    <row r="22" spans="1:14" ht="26.25" customHeight="1" x14ac:dyDescent="0.4">
      <c r="A22" s="100" t="s">
        <v>35</v>
      </c>
      <c r="B22" s="105" t="s">
        <v>11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100" t="s">
        <v>36</v>
      </c>
      <c r="B23" s="105"/>
      <c r="C23" s="255"/>
      <c r="D23" s="255"/>
      <c r="E23" s="255"/>
      <c r="F23" s="255"/>
      <c r="G23" s="255"/>
      <c r="H23" s="255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40" t="s">
        <v>4</v>
      </c>
      <c r="B26" s="334" t="s">
        <v>133</v>
      </c>
      <c r="C26" s="334"/>
    </row>
    <row r="27" spans="1:14" ht="26.25" customHeight="1" x14ac:dyDescent="0.4">
      <c r="A27" s="209" t="s">
        <v>46</v>
      </c>
      <c r="B27" s="340" t="s">
        <v>134</v>
      </c>
      <c r="C27" s="340"/>
    </row>
    <row r="28" spans="1:14" ht="27" customHeight="1" thickBot="1" x14ac:dyDescent="0.45">
      <c r="A28" s="209" t="s">
        <v>6</v>
      </c>
      <c r="B28" s="201">
        <v>99.3</v>
      </c>
    </row>
    <row r="29" spans="1:14" s="16" customFormat="1" ht="27" customHeight="1" thickBot="1" x14ac:dyDescent="0.45">
      <c r="A29" s="209" t="s">
        <v>47</v>
      </c>
      <c r="B29" s="111">
        <v>0</v>
      </c>
      <c r="C29" s="310" t="s">
        <v>48</v>
      </c>
      <c r="D29" s="311"/>
      <c r="E29" s="311"/>
      <c r="F29" s="311"/>
      <c r="G29" s="312"/>
      <c r="I29" s="112"/>
      <c r="J29" s="112"/>
      <c r="K29" s="112"/>
      <c r="L29" s="112"/>
    </row>
    <row r="30" spans="1:14" s="16" customFormat="1" ht="19.5" customHeight="1" thickBot="1" x14ac:dyDescent="0.35">
      <c r="A30" s="209" t="s">
        <v>49</v>
      </c>
      <c r="B30" s="285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09" t="s">
        <v>50</v>
      </c>
      <c r="B31" s="116">
        <v>1</v>
      </c>
      <c r="C31" s="313" t="s">
        <v>51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6" customFormat="1" ht="27" customHeight="1" thickBot="1" x14ac:dyDescent="0.45">
      <c r="A32" s="209" t="s">
        <v>52</v>
      </c>
      <c r="B32" s="116">
        <v>1</v>
      </c>
      <c r="C32" s="313" t="s">
        <v>53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09" t="s">
        <v>54</v>
      </c>
      <c r="B34" s="121">
        <f>B31/B32</f>
        <v>1</v>
      </c>
      <c r="C34" s="198" t="s">
        <v>55</v>
      </c>
      <c r="D34" s="198"/>
      <c r="E34" s="198"/>
      <c r="F34" s="198"/>
      <c r="G34" s="198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09"/>
      <c r="B35" s="285"/>
      <c r="G35" s="198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56</v>
      </c>
      <c r="B36" s="123">
        <v>25</v>
      </c>
      <c r="C36" s="198"/>
      <c r="D36" s="316" t="s">
        <v>57</v>
      </c>
      <c r="E36" s="341"/>
      <c r="F36" s="316" t="s">
        <v>58</v>
      </c>
      <c r="G36" s="317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59</v>
      </c>
      <c r="B37" s="125">
        <v>4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64</v>
      </c>
      <c r="B38" s="125">
        <v>100</v>
      </c>
      <c r="C38" s="131">
        <v>1</v>
      </c>
      <c r="D38" s="132">
        <v>3047972</v>
      </c>
      <c r="E38" s="133">
        <f>IF(ISBLANK(D38),"-",$D$48/$D$45*D38)</f>
        <v>2930270.3651094651</v>
      </c>
      <c r="F38" s="132">
        <v>2668803</v>
      </c>
      <c r="G38" s="134">
        <f>IF(ISBLANK(F38),"-",$D$48/$F$45*F38)</f>
        <v>2826094.9676124039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65</v>
      </c>
      <c r="B39" s="125">
        <v>1</v>
      </c>
      <c r="C39" s="156">
        <v>2</v>
      </c>
      <c r="D39" s="137">
        <v>3044550</v>
      </c>
      <c r="E39" s="138">
        <f>IF(ISBLANK(D39),"-",$D$48/$D$45*D39)</f>
        <v>2926980.510350496</v>
      </c>
      <c r="F39" s="137">
        <v>2688916</v>
      </c>
      <c r="G39" s="139">
        <f>IF(ISBLANK(F39),"-",$D$48/$F$45*F39)</f>
        <v>2847393.3729587663</v>
      </c>
      <c r="I39" s="318">
        <f>ABS((F43/D43*D42)-F42)/D42</f>
        <v>2.6942736611170331E-2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56">
        <v>3</v>
      </c>
      <c r="D40" s="137">
        <v>3047277</v>
      </c>
      <c r="E40" s="138">
        <f>IF(ISBLANK(D40),"-",$D$48/$D$45*D40)</f>
        <v>2929602.2034912645</v>
      </c>
      <c r="F40" s="137">
        <v>2693833</v>
      </c>
      <c r="G40" s="139">
        <f>IF(ISBLANK(F40),"-",$D$48/$F$45*F40)</f>
        <v>2852600.1675238768</v>
      </c>
      <c r="I40" s="318"/>
      <c r="L40" s="117"/>
      <c r="M40" s="117"/>
      <c r="N40" s="198"/>
    </row>
    <row r="41" spans="1:14" ht="27" customHeight="1" thickBot="1" x14ac:dyDescent="0.45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98"/>
    </row>
    <row r="42" spans="1:14" ht="27" customHeight="1" thickBot="1" x14ac:dyDescent="0.45">
      <c r="A42" s="124" t="s">
        <v>68</v>
      </c>
      <c r="B42" s="125">
        <v>1</v>
      </c>
      <c r="C42" s="146" t="s">
        <v>69</v>
      </c>
      <c r="D42" s="147">
        <f>AVERAGE(D38:D41)</f>
        <v>3046599.6666666665</v>
      </c>
      <c r="E42" s="148">
        <f>AVERAGE(E38:E41)</f>
        <v>2928951.0263170754</v>
      </c>
      <c r="F42" s="147">
        <f>AVERAGE(F38:F41)</f>
        <v>2683850.6666666665</v>
      </c>
      <c r="G42" s="149">
        <f>AVERAGE(G38:G41)</f>
        <v>2842029.5026983493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20.95</v>
      </c>
      <c r="E43" s="198"/>
      <c r="F43" s="152">
        <v>19.02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20.95</v>
      </c>
      <c r="E44" s="217"/>
      <c r="F44" s="154">
        <f>F43*$B$34</f>
        <v>19.02</v>
      </c>
      <c r="H44" s="150"/>
    </row>
    <row r="45" spans="1:14" ht="19.5" customHeight="1" thickBot="1" x14ac:dyDescent="0.35">
      <c r="A45" s="124" t="s">
        <v>74</v>
      </c>
      <c r="B45" s="156">
        <f>(B44/B43)*(B42/B41)*(B40/B39)*(B38/B37)*B36</f>
        <v>625</v>
      </c>
      <c r="C45" s="153" t="s">
        <v>75</v>
      </c>
      <c r="D45" s="157">
        <f>D44*$B$30/100</f>
        <v>20.803350000000002</v>
      </c>
      <c r="E45" s="194"/>
      <c r="F45" s="157">
        <f>F44*$B$30/100</f>
        <v>18.886859999999999</v>
      </c>
      <c r="H45" s="150"/>
    </row>
    <row r="46" spans="1:14" ht="19.5" customHeight="1" thickBot="1" x14ac:dyDescent="0.35">
      <c r="A46" s="304" t="s">
        <v>76</v>
      </c>
      <c r="B46" s="305"/>
      <c r="C46" s="153" t="s">
        <v>77</v>
      </c>
      <c r="D46" s="159">
        <f>D45/$B$45</f>
        <v>3.328536E-2</v>
      </c>
      <c r="E46" s="160"/>
      <c r="F46" s="161">
        <f>F45/$B$45</f>
        <v>3.0218975999999998E-2</v>
      </c>
      <c r="H46" s="150"/>
    </row>
    <row r="47" spans="1:14" ht="27" customHeight="1" thickBot="1" x14ac:dyDescent="0.45">
      <c r="A47" s="306"/>
      <c r="B47" s="307"/>
      <c r="C47" s="162" t="s">
        <v>78</v>
      </c>
      <c r="D47" s="163">
        <v>3.2000000000000001E-2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thickBot="1" x14ac:dyDescent="0.35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2885490.2645077123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1.6788390487354192E-2</v>
      </c>
      <c r="F51" s="170"/>
      <c r="H51" s="150"/>
    </row>
    <row r="52" spans="1:12" ht="19.5" customHeight="1" thickBot="1" x14ac:dyDescent="0.35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198" t="s">
        <v>84</v>
      </c>
      <c r="B55" s="177" t="str">
        <f>B21</f>
        <v>Sulphamethoxazole 800 mg, Trimethoprim 160 mg</v>
      </c>
    </row>
    <row r="56" spans="1:12" ht="26.25" customHeight="1" x14ac:dyDescent="0.4">
      <c r="A56" s="177" t="s">
        <v>85</v>
      </c>
      <c r="B56" s="178">
        <v>160</v>
      </c>
      <c r="C56" s="198" t="str">
        <f>B20</f>
        <v>Sulphamethoxazole 800 mg, Trimethoprim 160 mg</v>
      </c>
      <c r="H56" s="217"/>
    </row>
    <row r="57" spans="1:12" ht="18.75" x14ac:dyDescent="0.3">
      <c r="A57" s="177" t="s">
        <v>86</v>
      </c>
      <c r="B57" s="247">
        <f>Uniformity!C46</f>
        <v>1082.2774999999997</v>
      </c>
      <c r="H57" s="217"/>
    </row>
    <row r="58" spans="1:12" ht="19.5" customHeight="1" thickBot="1" x14ac:dyDescent="0.35">
      <c r="H58" s="217"/>
    </row>
    <row r="59" spans="1:12" s="16" customFormat="1" ht="27" customHeight="1" thickBot="1" x14ac:dyDescent="0.45">
      <c r="A59" s="122" t="s">
        <v>87</v>
      </c>
      <c r="B59" s="123">
        <v>100</v>
      </c>
      <c r="C59" s="198"/>
      <c r="D59" s="180" t="s">
        <v>88</v>
      </c>
      <c r="E59" s="270" t="s">
        <v>60</v>
      </c>
      <c r="F59" s="270" t="s">
        <v>61</v>
      </c>
      <c r="G59" s="270" t="s">
        <v>89</v>
      </c>
      <c r="H59" s="126" t="s">
        <v>90</v>
      </c>
      <c r="L59" s="112"/>
    </row>
    <row r="60" spans="1:12" s="16" customFormat="1" ht="26.25" customHeight="1" x14ac:dyDescent="0.4">
      <c r="A60" s="124" t="s">
        <v>91</v>
      </c>
      <c r="B60" s="125">
        <v>2</v>
      </c>
      <c r="C60" s="321" t="s">
        <v>92</v>
      </c>
      <c r="D60" s="324">
        <v>1084.53</v>
      </c>
      <c r="E60" s="275">
        <v>1</v>
      </c>
      <c r="F60" s="183">
        <v>2761181</v>
      </c>
      <c r="G60" s="248">
        <f>IF(ISBLANK(F60),"-",(F60/$D$50*$D$47*$B$68)*($B$57/$D$60))</f>
        <v>152.78907636009956</v>
      </c>
      <c r="H60" s="266">
        <f t="shared" ref="H60:H71" si="0">IF(ISBLANK(F60),"-",(G60/$B$56)*100)</f>
        <v>95.493172725062223</v>
      </c>
      <c r="L60" s="112"/>
    </row>
    <row r="61" spans="1:12" s="16" customFormat="1" ht="26.25" customHeight="1" x14ac:dyDescent="0.4">
      <c r="A61" s="124" t="s">
        <v>93</v>
      </c>
      <c r="B61" s="125">
        <v>100</v>
      </c>
      <c r="C61" s="322"/>
      <c r="D61" s="325"/>
      <c r="E61" s="271">
        <v>2</v>
      </c>
      <c r="F61" s="137">
        <v>2733927</v>
      </c>
      <c r="G61" s="249">
        <f>IF(ISBLANK(F61),"-",(F61/$D$50*$D$47*$B$68)*($B$57/$D$60))</f>
        <v>151.28098489955494</v>
      </c>
      <c r="H61" s="267">
        <f t="shared" si="0"/>
        <v>94.550615562221836</v>
      </c>
      <c r="L61" s="112"/>
    </row>
    <row r="62" spans="1:12" s="16" customFormat="1" ht="26.25" customHeight="1" x14ac:dyDescent="0.4">
      <c r="A62" s="124" t="s">
        <v>94</v>
      </c>
      <c r="B62" s="125">
        <v>1</v>
      </c>
      <c r="C62" s="322"/>
      <c r="D62" s="325"/>
      <c r="E62" s="271">
        <v>3</v>
      </c>
      <c r="F62" s="185">
        <v>2749018</v>
      </c>
      <c r="G62" s="249">
        <f>IF(ISBLANK(F62),"-",(F62/$D$50*$D$47*$B$68)*($B$57/$D$60))</f>
        <v>152.11604060627977</v>
      </c>
      <c r="H62" s="267">
        <f t="shared" si="0"/>
        <v>95.072525378924851</v>
      </c>
      <c r="L62" s="112"/>
    </row>
    <row r="63" spans="1:12" ht="27" customHeight="1" thickBot="1" x14ac:dyDescent="0.45">
      <c r="A63" s="124" t="s">
        <v>95</v>
      </c>
      <c r="B63" s="125">
        <v>1</v>
      </c>
      <c r="C63" s="331"/>
      <c r="D63" s="326"/>
      <c r="E63" s="272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21" t="s">
        <v>97</v>
      </c>
      <c r="D64" s="324">
        <v>1074.52</v>
      </c>
      <c r="E64" s="275">
        <v>1</v>
      </c>
      <c r="F64" s="183">
        <v>2746313</v>
      </c>
      <c r="G64" s="248">
        <f>IF(ISBLANK(F64),"-",(F64/$D$50*$D$47*$B$68)*($B$57/$D$64))</f>
        <v>153.38204660954742</v>
      </c>
      <c r="H64" s="266">
        <f t="shared" si="0"/>
        <v>95.863779130967131</v>
      </c>
    </row>
    <row r="65" spans="1:8" ht="26.25" customHeight="1" x14ac:dyDescent="0.4">
      <c r="A65" s="124" t="s">
        <v>98</v>
      </c>
      <c r="B65" s="125">
        <v>1</v>
      </c>
      <c r="C65" s="322"/>
      <c r="D65" s="325"/>
      <c r="E65" s="271">
        <v>2</v>
      </c>
      <c r="F65" s="137">
        <v>2736835</v>
      </c>
      <c r="G65" s="249">
        <f>IF(ISBLANK(F65),"-",(F65/$D$50*$D$47*$B$68)*($B$57/$D$64))</f>
        <v>152.8526987028211</v>
      </c>
      <c r="H65" s="267">
        <f t="shared" si="0"/>
        <v>95.532936689263195</v>
      </c>
    </row>
    <row r="66" spans="1:8" ht="26.25" customHeight="1" x14ac:dyDescent="0.4">
      <c r="A66" s="124" t="s">
        <v>99</v>
      </c>
      <c r="B66" s="125">
        <v>1</v>
      </c>
      <c r="C66" s="322"/>
      <c r="D66" s="325"/>
      <c r="E66" s="271">
        <v>3</v>
      </c>
      <c r="F66" s="137">
        <v>2759204</v>
      </c>
      <c r="G66" s="249">
        <f>IF(ISBLANK(F66),"-",(F66/$D$50*$D$47*$B$68)*($B$57/$D$64))</f>
        <v>154.10201114485119</v>
      </c>
      <c r="H66" s="267">
        <f t="shared" si="0"/>
        <v>96.313756965531994</v>
      </c>
    </row>
    <row r="67" spans="1:8" ht="27" customHeight="1" thickBot="1" x14ac:dyDescent="0.45">
      <c r="A67" s="124" t="s">
        <v>100</v>
      </c>
      <c r="B67" s="125">
        <v>1</v>
      </c>
      <c r="C67" s="331"/>
      <c r="D67" s="326"/>
      <c r="E67" s="272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101</v>
      </c>
      <c r="B68" s="188">
        <f>(B67/B66)*(B65/B64)*(B63/B62)*(B61/B60)*B59</f>
        <v>5000</v>
      </c>
      <c r="C68" s="321" t="s">
        <v>102</v>
      </c>
      <c r="D68" s="324">
        <v>1092.51</v>
      </c>
      <c r="E68" s="275">
        <v>1</v>
      </c>
      <c r="F68" s="183">
        <v>2789927</v>
      </c>
      <c r="G68" s="248">
        <f>IF(ISBLANK(F68),"-",(F68/$D$50*$D$47*$B$68)*($B$57/$D$68))</f>
        <v>153.25209426528056</v>
      </c>
      <c r="H68" s="267">
        <f t="shared" si="0"/>
        <v>95.782558915800351</v>
      </c>
    </row>
    <row r="69" spans="1:8" ht="27" customHeight="1" thickBot="1" x14ac:dyDescent="0.45">
      <c r="A69" s="172" t="s">
        <v>103</v>
      </c>
      <c r="B69" s="189">
        <f>(D47*B68)/B56*B57</f>
        <v>1082.2774999999997</v>
      </c>
      <c r="C69" s="322"/>
      <c r="D69" s="325"/>
      <c r="E69" s="271">
        <v>2</v>
      </c>
      <c r="F69" s="137">
        <v>2810723</v>
      </c>
      <c r="G69" s="249">
        <f>IF(ISBLANK(F69),"-",(F69/$D$50*$D$47*$B$68)*($B$57/$D$68))</f>
        <v>154.39442901179569</v>
      </c>
      <c r="H69" s="267">
        <f t="shared" si="0"/>
        <v>96.496518132372316</v>
      </c>
    </row>
    <row r="70" spans="1:8" ht="26.25" customHeight="1" x14ac:dyDescent="0.4">
      <c r="A70" s="327" t="s">
        <v>76</v>
      </c>
      <c r="B70" s="328"/>
      <c r="C70" s="322"/>
      <c r="D70" s="325"/>
      <c r="E70" s="271">
        <v>3</v>
      </c>
      <c r="F70" s="137">
        <v>2794905</v>
      </c>
      <c r="G70" s="249">
        <f>IF(ISBLANK(F70),"-",(F70/$D$50*$D$47*$B$68)*($B$57/$D$68))</f>
        <v>153.52553831068124</v>
      </c>
      <c r="H70" s="267">
        <f t="shared" si="0"/>
        <v>95.953461444175787</v>
      </c>
    </row>
    <row r="71" spans="1:8" ht="27" customHeight="1" thickBot="1" x14ac:dyDescent="0.45">
      <c r="A71" s="329"/>
      <c r="B71" s="330"/>
      <c r="C71" s="323"/>
      <c r="D71" s="326"/>
      <c r="E71" s="272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192" t="s">
        <v>69</v>
      </c>
      <c r="G72" s="254">
        <f>AVERAGE(G60:G71)</f>
        <v>153.07721332343459</v>
      </c>
      <c r="H72" s="269">
        <f>AVERAGE(H60:H71)</f>
        <v>95.673258327146627</v>
      </c>
    </row>
    <row r="73" spans="1:8" ht="26.25" customHeight="1" x14ac:dyDescent="0.4">
      <c r="C73" s="217"/>
      <c r="D73" s="217"/>
      <c r="E73" s="217"/>
      <c r="F73" s="193" t="s">
        <v>82</v>
      </c>
      <c r="G73" s="256">
        <f>STDEV(G60:G71)/G72</f>
        <v>6.2801378107225306E-3</v>
      </c>
      <c r="H73" s="256">
        <f>STDEV(H60:H71)/H72</f>
        <v>6.2801378107225515E-3</v>
      </c>
    </row>
    <row r="74" spans="1:8" ht="27" customHeight="1" thickBot="1" x14ac:dyDescent="0.45">
      <c r="A74" s="217"/>
      <c r="B74" s="217"/>
      <c r="C74" s="217"/>
      <c r="D74" s="217"/>
      <c r="E74" s="194"/>
      <c r="F74" s="195" t="s">
        <v>19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240" t="s">
        <v>104</v>
      </c>
      <c r="B76" s="209" t="s">
        <v>105</v>
      </c>
      <c r="C76" s="308" t="str">
        <f>B26</f>
        <v>Trimethoprim</v>
      </c>
      <c r="D76" s="308"/>
      <c r="E76" s="198" t="s">
        <v>106</v>
      </c>
      <c r="F76" s="198"/>
      <c r="G76" s="199">
        <f>H72</f>
        <v>95.673258327146627</v>
      </c>
      <c r="H76" s="285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240" t="s">
        <v>4</v>
      </c>
      <c r="B79" s="342" t="str">
        <f>B26</f>
        <v>Trimethoprim</v>
      </c>
      <c r="C79" s="342"/>
    </row>
    <row r="80" spans="1:8" ht="26.25" customHeight="1" x14ac:dyDescent="0.4">
      <c r="A80" s="209" t="s">
        <v>46</v>
      </c>
      <c r="B80" s="342" t="str">
        <f>B27</f>
        <v>T17-4</v>
      </c>
      <c r="C80" s="342"/>
    </row>
    <row r="81" spans="1:12" ht="27" customHeight="1" thickBot="1" x14ac:dyDescent="0.45">
      <c r="A81" s="209" t="s">
        <v>6</v>
      </c>
      <c r="B81" s="201">
        <f>B28</f>
        <v>99.3</v>
      </c>
    </row>
    <row r="82" spans="1:12" s="16" customFormat="1" ht="27" customHeight="1" thickBot="1" x14ac:dyDescent="0.45">
      <c r="A82" s="209" t="s">
        <v>47</v>
      </c>
      <c r="B82" s="111">
        <v>0</v>
      </c>
      <c r="C82" s="310" t="s">
        <v>48</v>
      </c>
      <c r="D82" s="311"/>
      <c r="E82" s="311"/>
      <c r="F82" s="311"/>
      <c r="G82" s="312"/>
      <c r="I82" s="112"/>
      <c r="J82" s="112"/>
      <c r="K82" s="112"/>
      <c r="L82" s="112"/>
    </row>
    <row r="83" spans="1:12" s="16" customFormat="1" ht="19.5" customHeight="1" thickBot="1" x14ac:dyDescent="0.35">
      <c r="A83" s="209" t="s">
        <v>49</v>
      </c>
      <c r="B83" s="285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09" t="s">
        <v>50</v>
      </c>
      <c r="B84" s="116">
        <v>1</v>
      </c>
      <c r="C84" s="313" t="s">
        <v>109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6" customFormat="1" ht="27" customHeight="1" thickBot="1" x14ac:dyDescent="0.45">
      <c r="A85" s="209" t="s">
        <v>52</v>
      </c>
      <c r="B85" s="116">
        <v>1</v>
      </c>
      <c r="C85" s="313" t="s">
        <v>110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6" customFormat="1" ht="18.75" x14ac:dyDescent="0.3">
      <c r="A86" s="2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09" t="s">
        <v>54</v>
      </c>
      <c r="B87" s="121">
        <f>B84/B85</f>
        <v>1</v>
      </c>
      <c r="C87" s="198" t="s">
        <v>55</v>
      </c>
      <c r="D87" s="198"/>
      <c r="E87" s="198"/>
      <c r="F87" s="198"/>
      <c r="G87" s="198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56</v>
      </c>
      <c r="B89" s="123">
        <v>25</v>
      </c>
      <c r="D89" s="287" t="s">
        <v>57</v>
      </c>
      <c r="E89" s="290"/>
      <c r="F89" s="316" t="s">
        <v>58</v>
      </c>
      <c r="G89" s="317"/>
    </row>
    <row r="90" spans="1:12" ht="27" customHeight="1" thickBot="1" x14ac:dyDescent="0.45">
      <c r="A90" s="124" t="s">
        <v>59</v>
      </c>
      <c r="B90" s="125">
        <v>4</v>
      </c>
      <c r="C90" s="286" t="s">
        <v>60</v>
      </c>
      <c r="D90" s="127" t="s">
        <v>61</v>
      </c>
      <c r="E90" s="128" t="s">
        <v>62</v>
      </c>
      <c r="F90" s="127" t="s">
        <v>61</v>
      </c>
      <c r="G90" s="205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100</v>
      </c>
      <c r="C91" s="206">
        <v>1</v>
      </c>
      <c r="D91" s="132">
        <v>2604138</v>
      </c>
      <c r="E91" s="133">
        <f>IF(ISBLANK(D91),"-",$D$101/$D$98*D91)</f>
        <v>2647781.7843181835</v>
      </c>
      <c r="F91" s="132">
        <v>2301029</v>
      </c>
      <c r="G91" s="134">
        <f>IF(ISBLANK(F91),"-",$D$101/$F$98*F91)</f>
        <v>2711660.8135716617</v>
      </c>
      <c r="I91" s="135"/>
    </row>
    <row r="92" spans="1:12" ht="26.25" customHeight="1" x14ac:dyDescent="0.4">
      <c r="A92" s="124" t="s">
        <v>65</v>
      </c>
      <c r="B92" s="125">
        <v>1</v>
      </c>
      <c r="C92" s="217">
        <v>2</v>
      </c>
      <c r="D92" s="137">
        <v>2599356</v>
      </c>
      <c r="E92" s="138">
        <f>IF(ISBLANK(D92),"-",$D$101/$D$98*D92)</f>
        <v>2642919.6408785465</v>
      </c>
      <c r="F92" s="137">
        <v>2295596</v>
      </c>
      <c r="G92" s="139">
        <f>IF(ISBLANK(F92),"-",$D$101/$F$98*F92)</f>
        <v>2705258.2635820117</v>
      </c>
      <c r="I92" s="318">
        <f>ABS((F96/D96*D95)-F95)/D95</f>
        <v>2.0020970580719236E-2</v>
      </c>
    </row>
    <row r="93" spans="1:12" ht="26.25" customHeight="1" x14ac:dyDescent="0.4">
      <c r="A93" s="124" t="s">
        <v>66</v>
      </c>
      <c r="B93" s="125">
        <v>1</v>
      </c>
      <c r="C93" s="217">
        <v>3</v>
      </c>
      <c r="D93" s="137">
        <v>2603433</v>
      </c>
      <c r="E93" s="138">
        <f>IF(ISBLANK(D93),"-",$D$101/$D$98*D93)</f>
        <v>2647064.9689428294</v>
      </c>
      <c r="F93" s="137">
        <v>2295413</v>
      </c>
      <c r="G93" s="139">
        <f>IF(ISBLANK(F93),"-",$D$101/$F$98*F93)</f>
        <v>2705042.6061831336</v>
      </c>
      <c r="I93" s="318"/>
    </row>
    <row r="94" spans="1:12" ht="27" customHeight="1" thickBot="1" x14ac:dyDescent="0.45">
      <c r="A94" s="124" t="s">
        <v>67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68</v>
      </c>
      <c r="B95" s="125">
        <v>1</v>
      </c>
      <c r="C95" s="209" t="s">
        <v>69</v>
      </c>
      <c r="D95" s="210">
        <f>AVERAGE(D91:D94)</f>
        <v>2602309</v>
      </c>
      <c r="E95" s="148">
        <f>AVERAGE(E91:E94)</f>
        <v>2645922.131379853</v>
      </c>
      <c r="F95" s="211">
        <f>AVERAGE(F91:F94)</f>
        <v>2297346</v>
      </c>
      <c r="G95" s="212">
        <f>AVERAGE(G91:G94)</f>
        <v>2707320.5611122693</v>
      </c>
    </row>
    <row r="96" spans="1:12" ht="26.25" customHeight="1" x14ac:dyDescent="0.4">
      <c r="A96" s="124" t="s">
        <v>70</v>
      </c>
      <c r="B96" s="201">
        <v>1</v>
      </c>
      <c r="C96" s="213" t="s">
        <v>111</v>
      </c>
      <c r="D96" s="214">
        <v>22.01</v>
      </c>
      <c r="E96" s="198"/>
      <c r="F96" s="152">
        <v>18.989999999999998</v>
      </c>
    </row>
    <row r="97" spans="1:10" ht="26.25" customHeight="1" x14ac:dyDescent="0.4">
      <c r="A97" s="124" t="s">
        <v>72</v>
      </c>
      <c r="B97" s="201">
        <v>1</v>
      </c>
      <c r="C97" s="215" t="s">
        <v>112</v>
      </c>
      <c r="D97" s="216">
        <f>D96*$B$87</f>
        <v>22.01</v>
      </c>
      <c r="E97" s="217"/>
      <c r="F97" s="154">
        <f>F96*$B$87</f>
        <v>18.989999999999998</v>
      </c>
    </row>
    <row r="98" spans="1:10" ht="19.5" customHeight="1" thickBot="1" x14ac:dyDescent="0.35">
      <c r="A98" s="124" t="s">
        <v>74</v>
      </c>
      <c r="B98" s="217">
        <f>(B97/B96)*(B95/B94)*(B93/B92)*(B91/B90)*B89</f>
        <v>625</v>
      </c>
      <c r="C98" s="215" t="s">
        <v>113</v>
      </c>
      <c r="D98" s="218">
        <f>D97*$B$83/100</f>
        <v>21.855930000000004</v>
      </c>
      <c r="E98" s="194"/>
      <c r="F98" s="157">
        <f>F97*$B$83/100</f>
        <v>18.85707</v>
      </c>
    </row>
    <row r="99" spans="1:10" ht="19.5" customHeight="1" thickBot="1" x14ac:dyDescent="0.35">
      <c r="A99" s="304" t="s">
        <v>76</v>
      </c>
      <c r="B99" s="319"/>
      <c r="C99" s="215" t="s">
        <v>114</v>
      </c>
      <c r="D99" s="219">
        <f>D98/$B$98</f>
        <v>3.4969488000000007E-2</v>
      </c>
      <c r="E99" s="194"/>
      <c r="F99" s="161">
        <f>F98/$B$98</f>
        <v>3.0171311999999999E-2</v>
      </c>
      <c r="H99" s="150"/>
    </row>
    <row r="100" spans="1:10" ht="19.5" customHeight="1" thickBot="1" x14ac:dyDescent="0.35">
      <c r="A100" s="306"/>
      <c r="B100" s="320"/>
      <c r="C100" s="215" t="s">
        <v>78</v>
      </c>
      <c r="D100" s="221">
        <f>$B$56/$B$116</f>
        <v>3.5555555555555556E-2</v>
      </c>
      <c r="F100" s="166"/>
      <c r="G100" s="228"/>
      <c r="H100" s="150"/>
    </row>
    <row r="101" spans="1:10" ht="18.75" x14ac:dyDescent="0.3">
      <c r="C101" s="215" t="s">
        <v>79</v>
      </c>
      <c r="D101" s="216">
        <f>D100*$B$98</f>
        <v>22.222222222222221</v>
      </c>
      <c r="F101" s="166"/>
      <c r="H101" s="150"/>
    </row>
    <row r="102" spans="1:10" ht="19.5" customHeight="1" thickBot="1" x14ac:dyDescent="0.35">
      <c r="C102" s="223" t="s">
        <v>80</v>
      </c>
      <c r="D102" s="224">
        <f>D101/B34</f>
        <v>22.222222222222221</v>
      </c>
      <c r="F102" s="170"/>
      <c r="H102" s="150"/>
      <c r="J102" s="225"/>
    </row>
    <row r="103" spans="1:10" ht="18.75" x14ac:dyDescent="0.3">
      <c r="C103" s="226" t="s">
        <v>115</v>
      </c>
      <c r="D103" s="227">
        <f>AVERAGE(E91:E94,G91:G94)</f>
        <v>2676621.3462460609</v>
      </c>
      <c r="F103" s="170"/>
      <c r="G103" s="228"/>
      <c r="H103" s="150"/>
      <c r="J103" s="229"/>
    </row>
    <row r="104" spans="1:10" ht="18.75" x14ac:dyDescent="0.3">
      <c r="C104" s="193" t="s">
        <v>82</v>
      </c>
      <c r="D104" s="230">
        <f>STDEV(E91:E94,G91:G94)/D103</f>
        <v>1.261072681995809E-2</v>
      </c>
      <c r="F104" s="170"/>
      <c r="H104" s="150"/>
      <c r="J104" s="229"/>
    </row>
    <row r="105" spans="1:10" ht="19.5" customHeight="1" thickBot="1" x14ac:dyDescent="0.35">
      <c r="C105" s="195" t="s">
        <v>19</v>
      </c>
      <c r="D105" s="231">
        <f>COUNT(E91:E94,G91:G94)</f>
        <v>6</v>
      </c>
      <c r="F105" s="170"/>
      <c r="H105" s="150"/>
      <c r="J105" s="229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7" customHeight="1" thickBot="1" x14ac:dyDescent="0.45">
      <c r="A107" s="122" t="s">
        <v>116</v>
      </c>
      <c r="B107" s="123">
        <v>900</v>
      </c>
      <c r="C107" s="270" t="s">
        <v>117</v>
      </c>
      <c r="D107" s="270" t="s">
        <v>61</v>
      </c>
      <c r="E107" s="270" t="s">
        <v>118</v>
      </c>
      <c r="F107" s="232" t="s">
        <v>119</v>
      </c>
    </row>
    <row r="108" spans="1:10" ht="26.25" customHeight="1" x14ac:dyDescent="0.4">
      <c r="A108" s="124" t="s">
        <v>120</v>
      </c>
      <c r="B108" s="125">
        <v>10</v>
      </c>
      <c r="C108" s="275">
        <v>1</v>
      </c>
      <c r="D108" s="276">
        <v>2636976</v>
      </c>
      <c r="E108" s="250">
        <f t="shared" ref="E108:E113" si="1">IF(ISBLANK(D108),"-",D108/$D$103*$D$100*$B$116)</f>
        <v>157.63012597644186</v>
      </c>
      <c r="F108" s="277">
        <f t="shared" ref="F108:F113" si="2">IF(ISBLANK(D108), "-", (E108/$B$56)*100)</f>
        <v>98.518828735276159</v>
      </c>
    </row>
    <row r="109" spans="1:10" ht="26.25" customHeight="1" x14ac:dyDescent="0.4">
      <c r="A109" s="124" t="s">
        <v>93</v>
      </c>
      <c r="B109" s="125">
        <v>50</v>
      </c>
      <c r="C109" s="271">
        <v>2</v>
      </c>
      <c r="D109" s="273">
        <v>2649058</v>
      </c>
      <c r="E109" s="251">
        <f t="shared" si="1"/>
        <v>158.35234991099696</v>
      </c>
      <c r="F109" s="280">
        <f t="shared" si="2"/>
        <v>98.970218694373102</v>
      </c>
    </row>
    <row r="110" spans="1:10" ht="26.25" customHeight="1" x14ac:dyDescent="0.4">
      <c r="A110" s="124" t="s">
        <v>94</v>
      </c>
      <c r="B110" s="125">
        <v>1</v>
      </c>
      <c r="C110" s="271">
        <v>3</v>
      </c>
      <c r="D110" s="273">
        <v>2652933</v>
      </c>
      <c r="E110" s="251">
        <f t="shared" si="1"/>
        <v>158.5839852152844</v>
      </c>
      <c r="F110" s="280">
        <f t="shared" si="2"/>
        <v>99.11499075955274</v>
      </c>
    </row>
    <row r="111" spans="1:10" ht="26.25" customHeight="1" x14ac:dyDescent="0.4">
      <c r="A111" s="124" t="s">
        <v>95</v>
      </c>
      <c r="B111" s="125">
        <v>1</v>
      </c>
      <c r="C111" s="271">
        <v>4</v>
      </c>
      <c r="D111" s="273">
        <v>2651181</v>
      </c>
      <c r="E111" s="251">
        <f t="shared" si="1"/>
        <v>158.47925616932014</v>
      </c>
      <c r="F111" s="280">
        <f t="shared" si="2"/>
        <v>99.049535105825086</v>
      </c>
    </row>
    <row r="112" spans="1:10" ht="26.25" customHeight="1" x14ac:dyDescent="0.4">
      <c r="A112" s="124" t="s">
        <v>96</v>
      </c>
      <c r="B112" s="125">
        <v>1</v>
      </c>
      <c r="C112" s="271">
        <v>5</v>
      </c>
      <c r="D112" s="273">
        <v>2648334</v>
      </c>
      <c r="E112" s="251">
        <f t="shared" si="1"/>
        <v>158.30907146962818</v>
      </c>
      <c r="F112" s="280">
        <f t="shared" si="2"/>
        <v>98.943169668517612</v>
      </c>
    </row>
    <row r="113" spans="1:10" ht="27" customHeight="1" thickBot="1" x14ac:dyDescent="0.45">
      <c r="A113" s="124" t="s">
        <v>98</v>
      </c>
      <c r="B113" s="125">
        <v>1</v>
      </c>
      <c r="C113" s="272">
        <v>6</v>
      </c>
      <c r="D113" s="274">
        <v>2637744</v>
      </c>
      <c r="E113" s="252">
        <f t="shared" si="1"/>
        <v>157.67603459933031</v>
      </c>
      <c r="F113" s="279">
        <f t="shared" si="2"/>
        <v>98.547521624581449</v>
      </c>
    </row>
    <row r="114" spans="1:10" ht="27" customHeight="1" thickBot="1" x14ac:dyDescent="0.45">
      <c r="A114" s="124" t="s">
        <v>99</v>
      </c>
      <c r="B114" s="125">
        <v>1</v>
      </c>
      <c r="C114" s="233"/>
      <c r="D114" s="217"/>
      <c r="E114" s="198"/>
      <c r="F114" s="280"/>
    </row>
    <row r="115" spans="1:10" ht="26.25" customHeight="1" x14ac:dyDescent="0.4">
      <c r="A115" s="124" t="s">
        <v>100</v>
      </c>
      <c r="B115" s="125">
        <v>1</v>
      </c>
      <c r="C115" s="233"/>
      <c r="D115" s="257" t="s">
        <v>69</v>
      </c>
      <c r="E115" s="259">
        <f>AVERAGE(E108:E113)</f>
        <v>158.17180389016698</v>
      </c>
      <c r="F115" s="281">
        <f>AVERAGE(F108:F113)</f>
        <v>98.857377431354351</v>
      </c>
    </row>
    <row r="116" spans="1:10" ht="27" customHeight="1" thickBot="1" x14ac:dyDescent="0.45">
      <c r="A116" s="124" t="s">
        <v>101</v>
      </c>
      <c r="B116" s="156">
        <f>(B115/B114)*(B113/B112)*(B111/B110)*(B109/B108)*B107</f>
        <v>4500</v>
      </c>
      <c r="C116" s="234"/>
      <c r="D116" s="258" t="s">
        <v>82</v>
      </c>
      <c r="E116" s="256">
        <f>STDEV(E108:E113)/E115</f>
        <v>2.6144760695469057E-3</v>
      </c>
      <c r="F116" s="235">
        <f>STDEV(F108:F113)/F115</f>
        <v>2.6144760695468771E-3</v>
      </c>
      <c r="I116" s="198"/>
    </row>
    <row r="117" spans="1:10" ht="27" customHeight="1" thickBot="1" x14ac:dyDescent="0.45">
      <c r="A117" s="304" t="s">
        <v>76</v>
      </c>
      <c r="B117" s="305"/>
      <c r="C117" s="236"/>
      <c r="D117" s="195" t="s">
        <v>19</v>
      </c>
      <c r="E117" s="261">
        <f>COUNT(E108:E113)</f>
        <v>6</v>
      </c>
      <c r="F117" s="262">
        <f>COUNT(F108:F113)</f>
        <v>6</v>
      </c>
      <c r="I117" s="198"/>
      <c r="J117" s="229"/>
    </row>
    <row r="118" spans="1:10" ht="26.25" customHeight="1" thickBot="1" x14ac:dyDescent="0.35">
      <c r="A118" s="306"/>
      <c r="B118" s="307"/>
      <c r="C118" s="198"/>
      <c r="D118" s="260"/>
      <c r="E118" s="332" t="s">
        <v>121</v>
      </c>
      <c r="F118" s="333"/>
      <c r="G118" s="198"/>
      <c r="H118" s="198"/>
      <c r="I118" s="198"/>
    </row>
    <row r="119" spans="1:10" ht="25.5" customHeight="1" x14ac:dyDescent="0.4">
      <c r="A119" s="245"/>
      <c r="B119" s="120"/>
      <c r="C119" s="198"/>
      <c r="D119" s="258" t="s">
        <v>122</v>
      </c>
      <c r="E119" s="263">
        <f>MIN(E108:E113)</f>
        <v>157.63012597644186</v>
      </c>
      <c r="F119" s="282">
        <f>MIN(F108:F113)</f>
        <v>98.518828735276159</v>
      </c>
      <c r="G119" s="198"/>
      <c r="H119" s="198"/>
      <c r="I119" s="198"/>
    </row>
    <row r="120" spans="1:10" ht="24" customHeight="1" thickBot="1" x14ac:dyDescent="0.45">
      <c r="A120" s="245"/>
      <c r="B120" s="120"/>
      <c r="C120" s="198"/>
      <c r="D120" s="167" t="s">
        <v>123</v>
      </c>
      <c r="E120" s="264">
        <f>MAX(E108:E113)</f>
        <v>158.5839852152844</v>
      </c>
      <c r="F120" s="283">
        <f>MAX(F108:F113)</f>
        <v>99.11499075955274</v>
      </c>
      <c r="G120" s="198"/>
      <c r="H120" s="198"/>
      <c r="I120" s="198"/>
    </row>
    <row r="121" spans="1:10" ht="27" customHeight="1" x14ac:dyDescent="0.3">
      <c r="A121" s="245"/>
      <c r="B121" s="120"/>
      <c r="C121" s="198"/>
      <c r="D121" s="198"/>
      <c r="E121" s="198"/>
      <c r="F121" s="217"/>
      <c r="G121" s="198"/>
      <c r="H121" s="198"/>
      <c r="I121" s="198"/>
    </row>
    <row r="122" spans="1:10" ht="25.5" customHeight="1" x14ac:dyDescent="0.3">
      <c r="A122" s="245"/>
      <c r="B122" s="120"/>
      <c r="C122" s="198"/>
      <c r="D122" s="198"/>
      <c r="E122" s="198"/>
      <c r="F122" s="217"/>
      <c r="G122" s="198"/>
      <c r="H122" s="198"/>
      <c r="I122" s="198"/>
    </row>
    <row r="123" spans="1:10" ht="18.75" x14ac:dyDescent="0.3">
      <c r="A123" s="245"/>
      <c r="B123" s="120"/>
      <c r="C123" s="198"/>
      <c r="D123" s="198"/>
      <c r="E123" s="198"/>
      <c r="F123" s="217"/>
      <c r="G123" s="198"/>
      <c r="H123" s="198"/>
      <c r="I123" s="198"/>
    </row>
    <row r="124" spans="1:10" ht="45.75" customHeight="1" x14ac:dyDescent="0.65">
      <c r="A124" s="240" t="s">
        <v>104</v>
      </c>
      <c r="B124" s="209" t="s">
        <v>124</v>
      </c>
      <c r="C124" s="308" t="str">
        <f>B26</f>
        <v>Trimethoprim</v>
      </c>
      <c r="D124" s="308"/>
      <c r="E124" s="198" t="s">
        <v>125</v>
      </c>
      <c r="F124" s="198"/>
      <c r="G124" s="284">
        <f>F115</f>
        <v>98.857377431354351</v>
      </c>
      <c r="H124" s="198"/>
      <c r="I124" s="198"/>
    </row>
    <row r="125" spans="1:10" ht="45.75" customHeight="1" x14ac:dyDescent="0.65">
      <c r="A125" s="240"/>
      <c r="B125" s="209" t="s">
        <v>126</v>
      </c>
      <c r="C125" s="209" t="s">
        <v>127</v>
      </c>
      <c r="D125" s="284">
        <f>MIN(F108:F113)</f>
        <v>98.518828735276159</v>
      </c>
      <c r="E125" s="209" t="s">
        <v>128</v>
      </c>
      <c r="F125" s="284">
        <f>MAX(F108:F113)</f>
        <v>99.11499075955274</v>
      </c>
      <c r="G125" s="199"/>
      <c r="H125" s="198"/>
      <c r="I125" s="198"/>
    </row>
    <row r="126" spans="1:10" ht="19.5" customHeight="1" thickBot="1" x14ac:dyDescent="0.35">
      <c r="A126" s="288"/>
      <c r="B126" s="288"/>
      <c r="C126" s="238"/>
      <c r="D126" s="238"/>
      <c r="E126" s="238"/>
      <c r="F126" s="238"/>
      <c r="G126" s="238"/>
      <c r="H126" s="238"/>
    </row>
    <row r="127" spans="1:10" ht="18.75" x14ac:dyDescent="0.3">
      <c r="B127" s="309" t="s">
        <v>24</v>
      </c>
      <c r="C127" s="309"/>
      <c r="E127" s="286" t="s">
        <v>25</v>
      </c>
      <c r="F127" s="239"/>
      <c r="G127" s="309" t="s">
        <v>26</v>
      </c>
      <c r="H127" s="309"/>
    </row>
    <row r="128" spans="1:10" ht="69.95" customHeight="1" x14ac:dyDescent="0.3">
      <c r="A128" s="240" t="s">
        <v>27</v>
      </c>
      <c r="B128" s="242"/>
      <c r="C128" s="242"/>
      <c r="E128" s="242"/>
      <c r="F128" s="198"/>
      <c r="G128" s="242"/>
      <c r="H128" s="242"/>
    </row>
    <row r="129" spans="1:9" ht="69.95" customHeight="1" x14ac:dyDescent="0.3">
      <c r="A129" s="240" t="s">
        <v>28</v>
      </c>
      <c r="B129" s="243"/>
      <c r="C129" s="243"/>
      <c r="E129" s="243"/>
      <c r="F129" s="198"/>
      <c r="G129" s="244"/>
      <c r="H129" s="244"/>
    </row>
    <row r="130" spans="1:9" ht="18.75" x14ac:dyDescent="0.3">
      <c r="A130" s="217"/>
      <c r="B130" s="217"/>
      <c r="C130" s="217"/>
      <c r="D130" s="217"/>
      <c r="E130" s="217"/>
      <c r="F130" s="194"/>
      <c r="G130" s="217"/>
      <c r="H130" s="217"/>
      <c r="I130" s="198"/>
    </row>
    <row r="131" spans="1:9" ht="18.75" x14ac:dyDescent="0.3">
      <c r="A131" s="217"/>
      <c r="B131" s="217"/>
      <c r="C131" s="217"/>
      <c r="D131" s="217"/>
      <c r="E131" s="217"/>
      <c r="F131" s="194"/>
      <c r="G131" s="217"/>
      <c r="H131" s="217"/>
      <c r="I131" s="198"/>
    </row>
    <row r="132" spans="1:9" ht="18.75" x14ac:dyDescent="0.3">
      <c r="A132" s="217"/>
      <c r="B132" s="217"/>
      <c r="C132" s="217"/>
      <c r="D132" s="217"/>
      <c r="E132" s="217"/>
      <c r="F132" s="194"/>
      <c r="G132" s="217"/>
      <c r="H132" s="217"/>
      <c r="I132" s="198"/>
    </row>
    <row r="133" spans="1:9" ht="18.75" x14ac:dyDescent="0.3">
      <c r="A133" s="217"/>
      <c r="B133" s="217"/>
      <c r="C133" s="217"/>
      <c r="D133" s="217"/>
      <c r="E133" s="217"/>
      <c r="F133" s="194"/>
      <c r="G133" s="217"/>
      <c r="H133" s="217"/>
      <c r="I133" s="198"/>
    </row>
    <row r="134" spans="1:9" ht="18.75" x14ac:dyDescent="0.3">
      <c r="A134" s="217"/>
      <c r="B134" s="217"/>
      <c r="C134" s="217"/>
      <c r="D134" s="217"/>
      <c r="E134" s="217"/>
      <c r="F134" s="194"/>
      <c r="G134" s="217"/>
      <c r="H134" s="217"/>
      <c r="I134" s="198"/>
    </row>
    <row r="135" spans="1:9" ht="18.75" x14ac:dyDescent="0.3">
      <c r="A135" s="217"/>
      <c r="B135" s="217"/>
      <c r="C135" s="217"/>
      <c r="D135" s="217"/>
      <c r="E135" s="217"/>
      <c r="F135" s="194"/>
      <c r="G135" s="217"/>
      <c r="H135" s="217"/>
      <c r="I135" s="198"/>
    </row>
    <row r="136" spans="1:9" ht="18.75" x14ac:dyDescent="0.3">
      <c r="A136" s="217"/>
      <c r="B136" s="217"/>
      <c r="C136" s="217"/>
      <c r="D136" s="217"/>
      <c r="E136" s="217"/>
      <c r="F136" s="194"/>
      <c r="G136" s="217"/>
      <c r="H136" s="217"/>
      <c r="I136" s="198"/>
    </row>
    <row r="137" spans="1:9" ht="18.75" x14ac:dyDescent="0.3">
      <c r="A137" s="217"/>
      <c r="B137" s="217"/>
      <c r="C137" s="217"/>
      <c r="D137" s="217"/>
      <c r="E137" s="217"/>
      <c r="F137" s="194"/>
      <c r="G137" s="217"/>
      <c r="H137" s="217"/>
      <c r="I137" s="198"/>
    </row>
    <row r="138" spans="1:9" ht="18.75" x14ac:dyDescent="0.3">
      <c r="A138" s="217"/>
      <c r="B138" s="217"/>
      <c r="C138" s="217"/>
      <c r="D138" s="217"/>
      <c r="E138" s="217"/>
      <c r="F138" s="194"/>
      <c r="G138" s="217"/>
      <c r="H138" s="217"/>
      <c r="I138" s="198"/>
    </row>
    <row r="250" spans="1:1" x14ac:dyDescent="0.25">
      <c r="A250" s="220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6" sqref="C46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4" width="25.85546875" style="220" customWidth="1"/>
    <col min="5" max="5" width="25.7109375" style="220" customWidth="1"/>
    <col min="6" max="6" width="23.140625" style="220" customWidth="1"/>
    <col min="7" max="7" width="28.42578125" style="220" customWidth="1"/>
    <col min="8" max="8" width="21.5703125" style="220" customWidth="1"/>
    <col min="9" max="9" width="9.140625" style="22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17.489999999999998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0.17489999999999997</v>
      </c>
      <c r="C21" s="72"/>
      <c r="D21" s="72"/>
      <c r="E21" s="72"/>
    </row>
    <row r="22" spans="1:5" ht="15.75" customHeight="1" x14ac:dyDescent="0.25">
      <c r="A22" s="72"/>
      <c r="B22" s="72" t="s">
        <v>11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40897281</v>
      </c>
      <c r="C24" s="18">
        <v>10124.41</v>
      </c>
      <c r="D24" s="19">
        <v>0.93</v>
      </c>
      <c r="E24" s="20">
        <v>9.1</v>
      </c>
    </row>
    <row r="25" spans="1:5" ht="16.5" customHeight="1" x14ac:dyDescent="0.3">
      <c r="A25" s="17">
        <v>2</v>
      </c>
      <c r="B25" s="18">
        <v>40982710</v>
      </c>
      <c r="C25" s="18">
        <v>10186.94</v>
      </c>
      <c r="D25" s="19">
        <v>0.94</v>
      </c>
      <c r="E25" s="19">
        <v>9.1</v>
      </c>
    </row>
    <row r="26" spans="1:5" ht="16.5" customHeight="1" x14ac:dyDescent="0.3">
      <c r="A26" s="17">
        <v>3</v>
      </c>
      <c r="B26" s="18">
        <v>41040102</v>
      </c>
      <c r="C26" s="18">
        <v>10289.69</v>
      </c>
      <c r="D26" s="19">
        <v>0.93</v>
      </c>
      <c r="E26" s="19">
        <v>9.1</v>
      </c>
    </row>
    <row r="27" spans="1:5" ht="16.5" customHeight="1" x14ac:dyDescent="0.3">
      <c r="A27" s="17">
        <v>4</v>
      </c>
      <c r="B27" s="18">
        <v>41554235</v>
      </c>
      <c r="C27" s="18" t="s">
        <v>131</v>
      </c>
      <c r="D27" s="19">
        <v>0.93</v>
      </c>
      <c r="E27" s="19">
        <v>9.1</v>
      </c>
    </row>
    <row r="28" spans="1:5" ht="16.5" customHeight="1" x14ac:dyDescent="0.3">
      <c r="A28" s="17">
        <v>5</v>
      </c>
      <c r="B28" s="18">
        <v>41451710</v>
      </c>
      <c r="C28" s="18">
        <v>10369.06</v>
      </c>
      <c r="D28" s="19">
        <v>0.93</v>
      </c>
      <c r="E28" s="19">
        <v>9.1</v>
      </c>
    </row>
    <row r="29" spans="1:5" ht="16.5" customHeight="1" x14ac:dyDescent="0.3">
      <c r="A29" s="17">
        <v>6</v>
      </c>
      <c r="B29" s="21">
        <v>41600610</v>
      </c>
      <c r="C29" s="21">
        <v>10391.33</v>
      </c>
      <c r="D29" s="22">
        <v>0.93</v>
      </c>
      <c r="E29" s="22">
        <v>9.1</v>
      </c>
    </row>
    <row r="30" spans="1:5" ht="16.5" customHeight="1" x14ac:dyDescent="0.3">
      <c r="A30" s="23" t="s">
        <v>17</v>
      </c>
      <c r="B30" s="24">
        <f>AVERAGE(B24:B29)</f>
        <v>41254441.333333336</v>
      </c>
      <c r="C30" s="25">
        <f>AVERAGE(C24:C29)</f>
        <v>10272.286</v>
      </c>
      <c r="D30" s="26">
        <f>AVERAGE(D24:D29)</f>
        <v>0.93166666666666664</v>
      </c>
      <c r="E30" s="26">
        <f>AVERAGE(E24:E29)</f>
        <v>9.1</v>
      </c>
    </row>
    <row r="31" spans="1:5" ht="16.5" customHeight="1" x14ac:dyDescent="0.3">
      <c r="A31" s="27" t="s">
        <v>18</v>
      </c>
      <c r="B31" s="28">
        <f>(STDEV(B24:B29)/B30)</f>
        <v>7.6343231776792326E-3</v>
      </c>
      <c r="C31" s="29"/>
      <c r="D31" s="29"/>
      <c r="E31" s="30"/>
    </row>
    <row r="32" spans="1:5" s="22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220" customFormat="1" ht="15.75" customHeight="1" x14ac:dyDescent="0.25">
      <c r="A33" s="72"/>
      <c r="B33" s="72"/>
      <c r="C33" s="72"/>
      <c r="D33" s="72"/>
      <c r="E33" s="72"/>
    </row>
    <row r="34" spans="1:5" s="22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99.02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16.5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B41/100</f>
        <v>0.16500000000000001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39980301</v>
      </c>
      <c r="C45" s="18">
        <v>9201.6</v>
      </c>
      <c r="D45" s="19">
        <v>1</v>
      </c>
      <c r="E45" s="20">
        <v>10.3</v>
      </c>
    </row>
    <row r="46" spans="1:5" ht="16.5" customHeight="1" x14ac:dyDescent="0.3">
      <c r="A46" s="17">
        <v>2</v>
      </c>
      <c r="B46" s="18">
        <v>40257036</v>
      </c>
      <c r="C46" s="18">
        <v>8911.7999999999993</v>
      </c>
      <c r="D46" s="19">
        <v>1</v>
      </c>
      <c r="E46" s="19">
        <v>10.3</v>
      </c>
    </row>
    <row r="47" spans="1:5" ht="16.5" customHeight="1" x14ac:dyDescent="0.3">
      <c r="A47" s="17">
        <v>3</v>
      </c>
      <c r="B47" s="18">
        <v>39987390</v>
      </c>
      <c r="C47" s="18">
        <v>8886.2999999999993</v>
      </c>
      <c r="D47" s="19">
        <v>1</v>
      </c>
      <c r="E47" s="19">
        <v>10.3</v>
      </c>
    </row>
    <row r="48" spans="1:5" ht="16.5" customHeight="1" x14ac:dyDescent="0.3">
      <c r="A48" s="17">
        <v>4</v>
      </c>
      <c r="B48" s="18">
        <v>39779386</v>
      </c>
      <c r="C48" s="18">
        <v>8690.5</v>
      </c>
      <c r="D48" s="19">
        <v>1</v>
      </c>
      <c r="E48" s="19">
        <v>10.3</v>
      </c>
    </row>
    <row r="49" spans="1:7" ht="16.5" customHeight="1" x14ac:dyDescent="0.3">
      <c r="A49" s="17">
        <v>5</v>
      </c>
      <c r="B49" s="18">
        <v>40018065</v>
      </c>
      <c r="C49" s="18">
        <v>8638.7000000000007</v>
      </c>
      <c r="D49" s="19">
        <v>1</v>
      </c>
      <c r="E49" s="19">
        <v>10.3</v>
      </c>
    </row>
    <row r="50" spans="1:7" ht="16.5" customHeight="1" x14ac:dyDescent="0.3">
      <c r="A50" s="17">
        <v>6</v>
      </c>
      <c r="B50" s="21">
        <v>39854968</v>
      </c>
      <c r="C50" s="21">
        <v>8610.2999999999993</v>
      </c>
      <c r="D50" s="22">
        <v>1</v>
      </c>
      <c r="E50" s="22">
        <v>10.3</v>
      </c>
    </row>
    <row r="51" spans="1:7" ht="16.5" customHeight="1" x14ac:dyDescent="0.3">
      <c r="A51" s="23" t="s">
        <v>17</v>
      </c>
      <c r="B51" s="24">
        <f>AVERAGE(B45:B50)</f>
        <v>39979524.333333336</v>
      </c>
      <c r="C51" s="25">
        <f>AVERAGE(C45:C50)</f>
        <v>8823.1999999999989</v>
      </c>
      <c r="D51" s="26">
        <f>AVERAGE(D45:D50)</f>
        <v>1</v>
      </c>
      <c r="E51" s="26">
        <f>AVERAGE(E45:E50)</f>
        <v>10.299999999999999</v>
      </c>
    </row>
    <row r="52" spans="1:7" ht="16.5" customHeight="1" x14ac:dyDescent="0.3">
      <c r="A52" s="27" t="s">
        <v>18</v>
      </c>
      <c r="B52" s="28">
        <f>(STDEV(B45:B50)/B51)</f>
        <v>4.0967615026574608E-3</v>
      </c>
      <c r="C52" s="29"/>
      <c r="D52" s="29"/>
      <c r="E52" s="30"/>
    </row>
    <row r="53" spans="1:7" s="220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220" customFormat="1" ht="15.75" customHeight="1" x14ac:dyDescent="0.25">
      <c r="A54" s="72"/>
      <c r="B54" s="72"/>
      <c r="C54" s="72"/>
      <c r="D54" s="72"/>
      <c r="E54" s="72"/>
    </row>
    <row r="55" spans="1:7" s="22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93" t="s">
        <v>24</v>
      </c>
      <c r="C59" s="293"/>
      <c r="E59" s="291" t="s">
        <v>25</v>
      </c>
      <c r="F59" s="46"/>
      <c r="G59" s="291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tri</vt:lpstr>
      <vt:lpstr>Uniformity</vt:lpstr>
      <vt:lpstr>sulfamethoxazole</vt:lpstr>
      <vt:lpstr>TRIMETHROPRIM</vt:lpstr>
      <vt:lpstr>sst sulf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2017-05-24T07:18:38Z</cp:lastPrinted>
  <dcterms:created xsi:type="dcterms:W3CDTF">2005-07-05T10:19:27Z</dcterms:created>
  <dcterms:modified xsi:type="dcterms:W3CDTF">2017-05-24T07:18:45Z</dcterms:modified>
</cp:coreProperties>
</file>