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" sheetId="8" r:id="rId1"/>
    <sheet name="sst tri" sheetId="7" r:id="rId2"/>
    <sheet name="Uniformity (2)" sheetId="6" r:id="rId3"/>
    <sheet name="sulfamethoxazole" sheetId="4" r:id="rId4"/>
    <sheet name="TRIMETHROPRIM" sheetId="5" r:id="rId5"/>
  </sheets>
  <definedNames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42" i="8" l="1"/>
  <c r="B21" i="8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D68" i="5" l="1"/>
  <c r="D64" i="5"/>
  <c r="D60" i="5"/>
  <c r="B57" i="5"/>
  <c r="B57" i="4"/>
  <c r="D49" i="6"/>
  <c r="C49" i="6"/>
  <c r="C46" i="6"/>
  <c r="D50" i="6" s="1"/>
  <c r="C45" i="6"/>
  <c r="D43" i="6"/>
  <c r="D41" i="6"/>
  <c r="D40" i="6"/>
  <c r="D39" i="6"/>
  <c r="D37" i="6"/>
  <c r="D36" i="6"/>
  <c r="D35" i="6"/>
  <c r="D33" i="6"/>
  <c r="D32" i="6"/>
  <c r="D31" i="6"/>
  <c r="D29" i="6"/>
  <c r="D28" i="6"/>
  <c r="D27" i="6"/>
  <c r="D25" i="6"/>
  <c r="D24" i="6"/>
  <c r="C19" i="6"/>
  <c r="C124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2" i="5"/>
  <c r="D42" i="5"/>
  <c r="I39" i="5" s="1"/>
  <c r="G41" i="5"/>
  <c r="E41" i="5"/>
  <c r="B34" i="5"/>
  <c r="F44" i="5" s="1"/>
  <c r="B30" i="5"/>
  <c r="D101" i="5" l="1"/>
  <c r="D102" i="5" s="1"/>
  <c r="C50" i="6"/>
  <c r="D26" i="6"/>
  <c r="D30" i="6"/>
  <c r="D34" i="6"/>
  <c r="D38" i="6"/>
  <c r="D42" i="6"/>
  <c r="B49" i="6"/>
  <c r="F45" i="5"/>
  <c r="F46" i="5" s="1"/>
  <c r="F98" i="5"/>
  <c r="F99" i="5" s="1"/>
  <c r="G94" i="5"/>
  <c r="D49" i="5"/>
  <c r="G38" i="5"/>
  <c r="D97" i="5"/>
  <c r="D98" i="5" s="1"/>
  <c r="D99" i="5" s="1"/>
  <c r="D44" i="5"/>
  <c r="D45" i="5" s="1"/>
  <c r="D46" i="5" s="1"/>
  <c r="G40" i="5" l="1"/>
  <c r="G39" i="5"/>
  <c r="G91" i="5"/>
  <c r="G93" i="5"/>
  <c r="E91" i="5"/>
  <c r="G92" i="5"/>
  <c r="E38" i="5"/>
  <c r="E40" i="5"/>
  <c r="E92" i="5"/>
  <c r="E94" i="5"/>
  <c r="E39" i="5"/>
  <c r="G42" i="5"/>
  <c r="E93" i="5"/>
  <c r="C124" i="4"/>
  <c r="B116" i="4"/>
  <c r="D100" i="4" s="1"/>
  <c r="B98" i="4"/>
  <c r="D97" i="4"/>
  <c r="F95" i="4"/>
  <c r="D95" i="4"/>
  <c r="B87" i="4"/>
  <c r="F97" i="4" s="1"/>
  <c r="B81" i="4"/>
  <c r="B83" i="4" s="1"/>
  <c r="B79" i="4"/>
  <c r="C76" i="4"/>
  <c r="B68" i="4"/>
  <c r="C56" i="4"/>
  <c r="B55" i="4"/>
  <c r="B45" i="4"/>
  <c r="D48" i="4" s="1"/>
  <c r="F42" i="4"/>
  <c r="D42" i="4"/>
  <c r="B34" i="4"/>
  <c r="D44" i="4" s="1"/>
  <c r="B30" i="4"/>
  <c r="G95" i="5" l="1"/>
  <c r="I92" i="4"/>
  <c r="D101" i="4"/>
  <c r="D102" i="4" s="1"/>
  <c r="D103" i="5"/>
  <c r="E108" i="5" s="1"/>
  <c r="D52" i="5"/>
  <c r="D50" i="5"/>
  <c r="G61" i="5" s="1"/>
  <c r="H61" i="5" s="1"/>
  <c r="E42" i="5"/>
  <c r="D105" i="5"/>
  <c r="E95" i="5"/>
  <c r="I39" i="4"/>
  <c r="F44" i="4"/>
  <c r="F45" i="4" s="1"/>
  <c r="F46" i="4" s="1"/>
  <c r="D45" i="4"/>
  <c r="D46" i="4" s="1"/>
  <c r="B69" i="4"/>
  <c r="D98" i="4"/>
  <c r="D99" i="4" s="1"/>
  <c r="F98" i="4"/>
  <c r="F99" i="4" s="1"/>
  <c r="D49" i="4"/>
  <c r="E113" i="5" l="1"/>
  <c r="F113" i="5" s="1"/>
  <c r="E110" i="5"/>
  <c r="F110" i="5" s="1"/>
  <c r="E112" i="5"/>
  <c r="F112" i="5" s="1"/>
  <c r="E91" i="4"/>
  <c r="E94" i="4"/>
  <c r="D104" i="5"/>
  <c r="E109" i="5"/>
  <c r="F109" i="5" s="1"/>
  <c r="E111" i="5"/>
  <c r="F111" i="5" s="1"/>
  <c r="D51" i="5"/>
  <c r="G66" i="5"/>
  <c r="H66" i="5" s="1"/>
  <c r="G65" i="5"/>
  <c r="H65" i="5" s="1"/>
  <c r="G60" i="5"/>
  <c r="H60" i="5" s="1"/>
  <c r="G70" i="5"/>
  <c r="H70" i="5" s="1"/>
  <c r="G69" i="5"/>
  <c r="H69" i="5" s="1"/>
  <c r="G62" i="5"/>
  <c r="H62" i="5" s="1"/>
  <c r="G68" i="5"/>
  <c r="H68" i="5" s="1"/>
  <c r="G64" i="5"/>
  <c r="H64" i="5" s="1"/>
  <c r="E93" i="4"/>
  <c r="F108" i="5"/>
  <c r="E38" i="4"/>
  <c r="E41" i="4"/>
  <c r="E40" i="4"/>
  <c r="E39" i="4"/>
  <c r="G38" i="4"/>
  <c r="G40" i="4"/>
  <c r="G41" i="4"/>
  <c r="G39" i="4"/>
  <c r="G92" i="4"/>
  <c r="G93" i="4"/>
  <c r="G91" i="4"/>
  <c r="E92" i="4"/>
  <c r="G94" i="4"/>
  <c r="E115" i="5" l="1"/>
  <c r="E116" i="5" s="1"/>
  <c r="E117" i="5"/>
  <c r="E119" i="5"/>
  <c r="E120" i="5"/>
  <c r="G72" i="5"/>
  <c r="G73" i="5" s="1"/>
  <c r="G74" i="5"/>
  <c r="D103" i="4"/>
  <c r="D104" i="4" s="1"/>
  <c r="H74" i="5"/>
  <c r="H72" i="5"/>
  <c r="F125" i="5"/>
  <c r="F120" i="5"/>
  <c r="F117" i="5"/>
  <c r="D125" i="5"/>
  <c r="F115" i="5"/>
  <c r="F119" i="5"/>
  <c r="E95" i="4"/>
  <c r="E42" i="4"/>
  <c r="D50" i="4"/>
  <c r="G65" i="4" s="1"/>
  <c r="H65" i="4" s="1"/>
  <c r="D52" i="4"/>
  <c r="G42" i="4"/>
  <c r="D105" i="4"/>
  <c r="G95" i="4"/>
  <c r="G67" i="4"/>
  <c r="H67" i="4" s="1"/>
  <c r="G63" i="4"/>
  <c r="H63" i="4" s="1"/>
  <c r="G71" i="4"/>
  <c r="H71" i="4" s="1"/>
  <c r="E108" i="4" l="1"/>
  <c r="F108" i="4" s="1"/>
  <c r="E109" i="4"/>
  <c r="F109" i="4" s="1"/>
  <c r="E111" i="4"/>
  <c r="F111" i="4" s="1"/>
  <c r="E110" i="4"/>
  <c r="F110" i="4" s="1"/>
  <c r="E113" i="4"/>
  <c r="F113" i="4" s="1"/>
  <c r="E112" i="4"/>
  <c r="F112" i="4" s="1"/>
  <c r="G124" i="5"/>
  <c r="F116" i="5"/>
  <c r="G76" i="5"/>
  <c r="H73" i="5"/>
  <c r="G69" i="4"/>
  <c r="H69" i="4" s="1"/>
  <c r="G68" i="4"/>
  <c r="H68" i="4" s="1"/>
  <c r="G70" i="4"/>
  <c r="H70" i="4" s="1"/>
  <c r="G61" i="4"/>
  <c r="H61" i="4" s="1"/>
  <c r="G62" i="4"/>
  <c r="H62" i="4" s="1"/>
  <c r="G60" i="4"/>
  <c r="H60" i="4" s="1"/>
  <c r="D51" i="4"/>
  <c r="G66" i="4"/>
  <c r="H66" i="4" s="1"/>
  <c r="G64" i="4"/>
  <c r="H64" i="4" s="1"/>
  <c r="E117" i="4" l="1"/>
  <c r="E119" i="4"/>
  <c r="E120" i="4"/>
  <c r="E115" i="4"/>
  <c r="E116" i="4" s="1"/>
  <c r="G74" i="4"/>
  <c r="G72" i="4"/>
  <c r="G73" i="4" s="1"/>
  <c r="H74" i="4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<sst xmlns="http://schemas.openxmlformats.org/spreadsheetml/2006/main" count="456" uniqueCount="138">
  <si>
    <t>HPLC System Suitability Report</t>
  </si>
  <si>
    <t>Analysis Data</t>
  </si>
  <si>
    <t>Assay</t>
  </si>
  <si>
    <t>Sample(s)</t>
  </si>
  <si>
    <t>Reference Substance:</t>
  </si>
  <si>
    <t>COTRIMOXAZOLE 960 TABLETS</t>
  </si>
  <si>
    <t>% age Purity:</t>
  </si>
  <si>
    <t>NDQB201705391</t>
  </si>
  <si>
    <t>Weight (mg):</t>
  </si>
  <si>
    <t>Sulphamethoxazole 800 mg, Trimethoprim 160 mg</t>
  </si>
  <si>
    <t>Standard Conc (mg/mL):</t>
  </si>
  <si>
    <t>2017-05-15 11:18:07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</si>
  <si>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</si>
  <si>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</si>
  <si>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</si>
  <si>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</si>
  <si>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</si>
  <si>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</si>
  <si>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</si>
  <si>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</si>
  <si>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</si>
  <si>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</si>
  <si>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</si>
  <si>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</si>
  <si>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</si>
  <si>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</si>
  <si>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</si>
  <si>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</si>
  <si>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</si>
  <si>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</si>
  <si>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</si>
  <si>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</si>
  <si>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</si>
  <si>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</si>
  <si>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</si>
  <si>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</si>
  <si>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</si>
  <si>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</si>
  <si>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</si>
  <si>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</si>
  <si>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</si>
  <si>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</si>
  <si>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</si>
  <si>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</si>
  <si>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</si>
  <si>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</si>
  <si>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</si>
  <si>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</si>
  <si>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</si>
  <si>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</si>
  <si>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</si>
  <si>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</si>
  <si>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</si>
  <si>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</si>
  <si>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</si>
  <si>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</si>
  <si>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</si>
  <si>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</si>
  <si>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</si>
  <si>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</si>
  <si>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</si>
  <si>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</si>
  <si>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</si>
  <si>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</si>
  <si>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</si>
  <si>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</si>
  <si>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</si>
  <si>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</si>
  <si>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</si>
  <si>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</si>
  <si>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</si>
  <si>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</si>
  <si>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</si>
  <si>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</si>
  <si>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</si>
  <si>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</si>
  <si>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</si>
  <si>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</si>
  <si>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</si>
  <si>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</si>
  <si>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</si>
  <si>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</si>
  <si>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</si>
  <si>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</si>
  <si>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</si>
  <si>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</si>
  <si>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</si>
  <si>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</si>
  <si>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</si>
  <si>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</si>
  <si>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</si>
  <si>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</si>
  <si>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</si>
  <si>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</si>
  <si>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</si>
  <si>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</si>
  <si>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</si>
  <si>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</si>
  <si>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</si>
  <si>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</si>
  <si>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</si>
  <si>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</si>
  <si>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</si>
  <si>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</si>
  <si>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</si>
  <si>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</si>
  <si>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</si>
  <si>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</si>
  <si>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</si>
  <si>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</si>
  <si>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</si>
  <si>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</si>
  <si>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</si>
  <si>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</si>
  <si>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</si>
  <si>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</si>
  <si>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</si>
  <si>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</si>
  <si>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</si>
  <si>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</si>
  <si>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</si>
  <si>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</si>
  <si>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</si>
  <si>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</si>
  <si>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</si>
  <si>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</si>
  <si>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</si>
  <si>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</si>
  <si>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</si>
  <si>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Trimethroprim</t>
  </si>
  <si>
    <t>sulfamethoxazole</t>
  </si>
  <si>
    <t>10355..69</t>
  </si>
  <si>
    <t>Sulfamethoxazole</t>
  </si>
  <si>
    <t>Trimethoprim</t>
  </si>
  <si>
    <t>S12-6</t>
  </si>
  <si>
    <t>NDQB201705393</t>
  </si>
  <si>
    <t>2017-05-15 11:23:08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</si>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</sst>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383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0" xfId="1" applyFont="1" applyFill="1"/>
    <xf numFmtId="0" fontId="25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43" sqref="B43"/>
    </sheetView>
  </sheetViews>
  <sheetFormatPr defaultRowHeight="13.5" x14ac:dyDescent="0.25"/>
  <cols>
    <col min="1" max="1" width="27.5703125" style="338" customWidth="1"/>
    <col min="2" max="2" width="20.42578125" style="338" customWidth="1"/>
    <col min="3" max="3" width="31.85546875" style="338" customWidth="1"/>
    <col min="4" max="4" width="25.85546875" style="338" customWidth="1"/>
    <col min="5" max="5" width="25.7109375" style="338" customWidth="1"/>
    <col min="6" max="6" width="23.140625" style="338" customWidth="1"/>
    <col min="7" max="7" width="28.42578125" style="338" customWidth="1"/>
    <col min="8" max="8" width="21.5703125" style="338" customWidth="1"/>
    <col min="9" max="9" width="9.140625" style="338" customWidth="1"/>
    <col min="10" max="16384" width="9.140625" style="375"/>
  </cols>
  <sheetData>
    <row r="14" spans="1:6" ht="15" customHeight="1" x14ac:dyDescent="0.3">
      <c r="A14" s="337"/>
      <c r="C14" s="339"/>
      <c r="F14" s="339"/>
    </row>
    <row r="15" spans="1:6" ht="18.75" customHeight="1" x14ac:dyDescent="0.3">
      <c r="A15" s="340" t="s">
        <v>0</v>
      </c>
      <c r="B15" s="340"/>
      <c r="C15" s="340"/>
      <c r="D15" s="340"/>
      <c r="E15" s="340"/>
    </row>
    <row r="16" spans="1:6" ht="16.5" customHeight="1" x14ac:dyDescent="0.3">
      <c r="A16" s="341" t="s">
        <v>1</v>
      </c>
      <c r="B16" s="342" t="s">
        <v>2</v>
      </c>
    </row>
    <row r="17" spans="1:5" ht="16.5" customHeight="1" x14ac:dyDescent="0.3">
      <c r="A17" s="343" t="s">
        <v>3</v>
      </c>
      <c r="B17" s="343" t="s">
        <v>5</v>
      </c>
      <c r="D17" s="344"/>
      <c r="E17" s="345"/>
    </row>
    <row r="18" spans="1:5" ht="16.5" customHeight="1" x14ac:dyDescent="0.3">
      <c r="A18" s="346" t="s">
        <v>4</v>
      </c>
      <c r="B18" s="343" t="s">
        <v>132</v>
      </c>
      <c r="C18" s="345"/>
      <c r="D18" s="345"/>
      <c r="E18" s="345"/>
    </row>
    <row r="19" spans="1:5" ht="16.5" customHeight="1" x14ac:dyDescent="0.3">
      <c r="A19" s="346" t="s">
        <v>6</v>
      </c>
      <c r="B19" s="347">
        <v>99.02</v>
      </c>
      <c r="C19" s="345"/>
      <c r="D19" s="345"/>
      <c r="E19" s="345"/>
    </row>
    <row r="20" spans="1:5" ht="16.5" customHeight="1" x14ac:dyDescent="0.3">
      <c r="A20" s="343" t="s">
        <v>8</v>
      </c>
      <c r="B20" s="347">
        <v>17.489999999999998</v>
      </c>
      <c r="C20" s="345"/>
      <c r="D20" s="345"/>
      <c r="E20" s="345"/>
    </row>
    <row r="21" spans="1:5" ht="16.5" customHeight="1" x14ac:dyDescent="0.3">
      <c r="A21" s="343" t="s">
        <v>10</v>
      </c>
      <c r="B21" s="348">
        <f>B20/100</f>
        <v>0.17489999999999997</v>
      </c>
      <c r="C21" s="345"/>
      <c r="D21" s="345"/>
      <c r="E21" s="345"/>
    </row>
    <row r="22" spans="1:5" ht="15.75" customHeight="1" x14ac:dyDescent="0.25">
      <c r="A22" s="345"/>
      <c r="B22" s="345" t="s">
        <v>11</v>
      </c>
      <c r="C22" s="345"/>
      <c r="D22" s="345"/>
      <c r="E22" s="345"/>
    </row>
    <row r="23" spans="1:5" ht="16.5" customHeight="1" x14ac:dyDescent="0.3">
      <c r="A23" s="349" t="s">
        <v>12</v>
      </c>
      <c r="B23" s="350" t="s">
        <v>13</v>
      </c>
      <c r="C23" s="349" t="s">
        <v>14</v>
      </c>
      <c r="D23" s="349" t="s">
        <v>15</v>
      </c>
      <c r="E23" s="349" t="s">
        <v>16</v>
      </c>
    </row>
    <row r="24" spans="1:5" ht="16.5" customHeight="1" x14ac:dyDescent="0.3">
      <c r="A24" s="351">
        <v>1</v>
      </c>
      <c r="B24" s="352">
        <v>40897281</v>
      </c>
      <c r="C24" s="352">
        <v>10124.41</v>
      </c>
      <c r="D24" s="353">
        <v>0.93</v>
      </c>
      <c r="E24" s="354">
        <v>9.1</v>
      </c>
    </row>
    <row r="25" spans="1:5" ht="16.5" customHeight="1" x14ac:dyDescent="0.3">
      <c r="A25" s="351">
        <v>2</v>
      </c>
      <c r="B25" s="352">
        <v>40982710</v>
      </c>
      <c r="C25" s="352">
        <v>10186.94</v>
      </c>
      <c r="D25" s="353">
        <v>0.94</v>
      </c>
      <c r="E25" s="353">
        <v>9.1</v>
      </c>
    </row>
    <row r="26" spans="1:5" ht="16.5" customHeight="1" x14ac:dyDescent="0.3">
      <c r="A26" s="351">
        <v>3</v>
      </c>
      <c r="B26" s="352">
        <v>41040102</v>
      </c>
      <c r="C26" s="352">
        <v>10289.69</v>
      </c>
      <c r="D26" s="353">
        <v>0.93</v>
      </c>
      <c r="E26" s="353">
        <v>9.1</v>
      </c>
    </row>
    <row r="27" spans="1:5" ht="16.5" customHeight="1" x14ac:dyDescent="0.3">
      <c r="A27" s="351">
        <v>4</v>
      </c>
      <c r="B27" s="352">
        <v>41554235</v>
      </c>
      <c r="C27" s="352" t="s">
        <v>131</v>
      </c>
      <c r="D27" s="353">
        <v>0.93</v>
      </c>
      <c r="E27" s="353">
        <v>9.1</v>
      </c>
    </row>
    <row r="28" spans="1:5" ht="16.5" customHeight="1" x14ac:dyDescent="0.3">
      <c r="A28" s="351">
        <v>5</v>
      </c>
      <c r="B28" s="352">
        <v>41451710</v>
      </c>
      <c r="C28" s="352">
        <v>10369.06</v>
      </c>
      <c r="D28" s="353">
        <v>0.93</v>
      </c>
      <c r="E28" s="353">
        <v>9.1</v>
      </c>
    </row>
    <row r="29" spans="1:5" ht="16.5" customHeight="1" x14ac:dyDescent="0.3">
      <c r="A29" s="351">
        <v>6</v>
      </c>
      <c r="B29" s="355">
        <v>41600610</v>
      </c>
      <c r="C29" s="355">
        <v>10391.33</v>
      </c>
      <c r="D29" s="356">
        <v>0.93</v>
      </c>
      <c r="E29" s="356">
        <v>9.1</v>
      </c>
    </row>
    <row r="30" spans="1:5" ht="16.5" customHeight="1" x14ac:dyDescent="0.3">
      <c r="A30" s="357" t="s">
        <v>17</v>
      </c>
      <c r="B30" s="358">
        <f>AVERAGE(B24:B29)</f>
        <v>41254441.333333336</v>
      </c>
      <c r="C30" s="359">
        <f>AVERAGE(C24:C29)</f>
        <v>10272.286</v>
      </c>
      <c r="D30" s="360">
        <f>AVERAGE(D24:D29)</f>
        <v>0.93166666666666664</v>
      </c>
      <c r="E30" s="360">
        <f>AVERAGE(E24:E29)</f>
        <v>9.1</v>
      </c>
    </row>
    <row r="31" spans="1:5" ht="16.5" customHeight="1" x14ac:dyDescent="0.3">
      <c r="A31" s="361" t="s">
        <v>18</v>
      </c>
      <c r="B31" s="362">
        <f>(STDEV(B24:B29)/B30)</f>
        <v>7.6343231776792326E-3</v>
      </c>
      <c r="C31" s="363"/>
      <c r="D31" s="363"/>
      <c r="E31" s="364"/>
    </row>
    <row r="32" spans="1:5" s="338" customFormat="1" ht="16.5" customHeight="1" x14ac:dyDescent="0.3">
      <c r="A32" s="365" t="s">
        <v>19</v>
      </c>
      <c r="B32" s="366">
        <f>COUNT(B24:B29)</f>
        <v>6</v>
      </c>
      <c r="C32" s="367"/>
      <c r="D32" s="368"/>
      <c r="E32" s="369"/>
    </row>
    <row r="33" spans="1:5" s="338" customFormat="1" ht="15.75" customHeight="1" x14ac:dyDescent="0.25">
      <c r="A33" s="345"/>
      <c r="B33" s="345"/>
      <c r="C33" s="345"/>
      <c r="D33" s="345"/>
      <c r="E33" s="345"/>
    </row>
    <row r="34" spans="1:5" s="338" customFormat="1" ht="16.5" customHeight="1" x14ac:dyDescent="0.3">
      <c r="A34" s="346" t="s">
        <v>20</v>
      </c>
      <c r="B34" s="370" t="s">
        <v>21</v>
      </c>
      <c r="C34" s="371"/>
      <c r="D34" s="371"/>
      <c r="E34" s="371"/>
    </row>
    <row r="35" spans="1:5" ht="16.5" customHeight="1" x14ac:dyDescent="0.3">
      <c r="A35" s="346"/>
      <c r="B35" s="370" t="s">
        <v>22</v>
      </c>
      <c r="C35" s="371"/>
      <c r="D35" s="371"/>
      <c r="E35" s="371"/>
    </row>
    <row r="36" spans="1:5" ht="16.5" customHeight="1" x14ac:dyDescent="0.3">
      <c r="A36" s="346"/>
      <c r="B36" s="370" t="s">
        <v>23</v>
      </c>
      <c r="C36" s="371"/>
      <c r="D36" s="371"/>
      <c r="E36" s="371"/>
    </row>
    <row r="37" spans="1:5" ht="15.75" customHeight="1" x14ac:dyDescent="0.25">
      <c r="A37" s="345"/>
      <c r="B37" s="345"/>
      <c r="C37" s="345"/>
      <c r="D37" s="345"/>
      <c r="E37" s="345"/>
    </row>
    <row r="38" spans="1:5" ht="16.5" customHeight="1" x14ac:dyDescent="0.3">
      <c r="A38" s="341" t="s">
        <v>1</v>
      </c>
      <c r="B38" s="342" t="s">
        <v>2</v>
      </c>
    </row>
    <row r="39" spans="1:5" ht="16.5" customHeight="1" x14ac:dyDescent="0.3">
      <c r="A39" s="346" t="s">
        <v>4</v>
      </c>
      <c r="B39" s="343" t="s">
        <v>132</v>
      </c>
      <c r="C39" s="345"/>
      <c r="D39" s="345"/>
      <c r="E39" s="345"/>
    </row>
    <row r="40" spans="1:5" ht="16.5" customHeight="1" x14ac:dyDescent="0.3">
      <c r="A40" s="346" t="s">
        <v>6</v>
      </c>
      <c r="B40" s="347">
        <v>99.02</v>
      </c>
      <c r="C40" s="345"/>
      <c r="D40" s="345"/>
      <c r="E40" s="345"/>
    </row>
    <row r="41" spans="1:5" ht="16.5" customHeight="1" x14ac:dyDescent="0.3">
      <c r="A41" s="343" t="s">
        <v>8</v>
      </c>
      <c r="B41" s="347">
        <v>16.5</v>
      </c>
      <c r="C41" s="345"/>
      <c r="D41" s="345"/>
      <c r="E41" s="345"/>
    </row>
    <row r="42" spans="1:5" ht="16.5" customHeight="1" x14ac:dyDescent="0.3">
      <c r="A42" s="343" t="s">
        <v>10</v>
      </c>
      <c r="B42" s="348">
        <f>B41/100</f>
        <v>0.16500000000000001</v>
      </c>
      <c r="C42" s="345"/>
      <c r="D42" s="345"/>
      <c r="E42" s="345"/>
    </row>
    <row r="43" spans="1:5" ht="15.75" customHeight="1" x14ac:dyDescent="0.25">
      <c r="A43" s="345"/>
      <c r="B43" s="345"/>
      <c r="C43" s="345"/>
      <c r="D43" s="345"/>
      <c r="E43" s="345"/>
    </row>
    <row r="44" spans="1:5" ht="16.5" customHeight="1" x14ac:dyDescent="0.3">
      <c r="A44" s="349" t="s">
        <v>12</v>
      </c>
      <c r="B44" s="350" t="s">
        <v>13</v>
      </c>
      <c r="C44" s="349" t="s">
        <v>14</v>
      </c>
      <c r="D44" s="349" t="s">
        <v>15</v>
      </c>
      <c r="E44" s="349" t="s">
        <v>16</v>
      </c>
    </row>
    <row r="45" spans="1:5" ht="16.5" customHeight="1" x14ac:dyDescent="0.3">
      <c r="A45" s="351">
        <v>1</v>
      </c>
      <c r="B45" s="352">
        <v>39980301</v>
      </c>
      <c r="C45" s="352">
        <v>9201.6</v>
      </c>
      <c r="D45" s="353">
        <v>1</v>
      </c>
      <c r="E45" s="354">
        <v>10.3</v>
      </c>
    </row>
    <row r="46" spans="1:5" ht="16.5" customHeight="1" x14ac:dyDescent="0.3">
      <c r="A46" s="351">
        <v>2</v>
      </c>
      <c r="B46" s="352">
        <v>40257036</v>
      </c>
      <c r="C46" s="352">
        <v>8911.7999999999993</v>
      </c>
      <c r="D46" s="353">
        <v>1</v>
      </c>
      <c r="E46" s="353">
        <v>10.3</v>
      </c>
    </row>
    <row r="47" spans="1:5" ht="16.5" customHeight="1" x14ac:dyDescent="0.3">
      <c r="A47" s="351">
        <v>3</v>
      </c>
      <c r="B47" s="352">
        <v>39987390</v>
      </c>
      <c r="C47" s="352">
        <v>8886.2999999999993</v>
      </c>
      <c r="D47" s="353">
        <v>1</v>
      </c>
      <c r="E47" s="353">
        <v>10.3</v>
      </c>
    </row>
    <row r="48" spans="1:5" ht="16.5" customHeight="1" x14ac:dyDescent="0.3">
      <c r="A48" s="351">
        <v>4</v>
      </c>
      <c r="B48" s="352">
        <v>39779386</v>
      </c>
      <c r="C48" s="352">
        <v>8690.5</v>
      </c>
      <c r="D48" s="353">
        <v>1</v>
      </c>
      <c r="E48" s="353">
        <v>10.3</v>
      </c>
    </row>
    <row r="49" spans="1:7" ht="16.5" customHeight="1" x14ac:dyDescent="0.3">
      <c r="A49" s="351">
        <v>5</v>
      </c>
      <c r="B49" s="352">
        <v>40018065</v>
      </c>
      <c r="C49" s="352">
        <v>8638.7000000000007</v>
      </c>
      <c r="D49" s="353">
        <v>1</v>
      </c>
      <c r="E49" s="353">
        <v>10.3</v>
      </c>
    </row>
    <row r="50" spans="1:7" ht="16.5" customHeight="1" x14ac:dyDescent="0.3">
      <c r="A50" s="351">
        <v>6</v>
      </c>
      <c r="B50" s="355">
        <v>39854968</v>
      </c>
      <c r="C50" s="355">
        <v>8610.2999999999993</v>
      </c>
      <c r="D50" s="356">
        <v>1</v>
      </c>
      <c r="E50" s="356">
        <v>10.3</v>
      </c>
    </row>
    <row r="51" spans="1:7" ht="16.5" customHeight="1" x14ac:dyDescent="0.3">
      <c r="A51" s="357" t="s">
        <v>17</v>
      </c>
      <c r="B51" s="358">
        <f>AVERAGE(B45:B50)</f>
        <v>39979524.333333336</v>
      </c>
      <c r="C51" s="359">
        <f>AVERAGE(C45:C50)</f>
        <v>8823.1999999999989</v>
      </c>
      <c r="D51" s="360">
        <f>AVERAGE(D45:D50)</f>
        <v>1</v>
      </c>
      <c r="E51" s="360">
        <f>AVERAGE(E45:E50)</f>
        <v>10.299999999999999</v>
      </c>
    </row>
    <row r="52" spans="1:7" ht="16.5" customHeight="1" x14ac:dyDescent="0.3">
      <c r="A52" s="361" t="s">
        <v>18</v>
      </c>
      <c r="B52" s="362">
        <f>(STDEV(B45:B50)/B51)</f>
        <v>4.0967615026574608E-3</v>
      </c>
      <c r="C52" s="363"/>
      <c r="D52" s="363"/>
      <c r="E52" s="364"/>
    </row>
    <row r="53" spans="1:7" s="338" customFormat="1" ht="16.5" customHeight="1" x14ac:dyDescent="0.3">
      <c r="A53" s="365" t="s">
        <v>19</v>
      </c>
      <c r="B53" s="366">
        <f>COUNT(B45:B50)</f>
        <v>6</v>
      </c>
      <c r="C53" s="367"/>
      <c r="D53" s="368"/>
      <c r="E53" s="369"/>
    </row>
    <row r="54" spans="1:7" s="338" customFormat="1" ht="15.75" customHeight="1" x14ac:dyDescent="0.25">
      <c r="A54" s="345"/>
      <c r="B54" s="345"/>
      <c r="C54" s="345"/>
      <c r="D54" s="345"/>
      <c r="E54" s="345"/>
    </row>
    <row r="55" spans="1:7" s="338" customFormat="1" ht="16.5" customHeight="1" x14ac:dyDescent="0.3">
      <c r="A55" s="346" t="s">
        <v>20</v>
      </c>
      <c r="B55" s="370" t="s">
        <v>21</v>
      </c>
      <c r="C55" s="371"/>
      <c r="D55" s="371"/>
      <c r="E55" s="371"/>
    </row>
    <row r="56" spans="1:7" ht="16.5" customHeight="1" x14ac:dyDescent="0.3">
      <c r="A56" s="346"/>
      <c r="B56" s="370" t="s">
        <v>22</v>
      </c>
      <c r="C56" s="371"/>
      <c r="D56" s="371"/>
      <c r="E56" s="371"/>
    </row>
    <row r="57" spans="1:7" ht="16.5" customHeight="1" x14ac:dyDescent="0.3">
      <c r="A57" s="346"/>
      <c r="B57" s="370" t="s">
        <v>23</v>
      </c>
      <c r="C57" s="371"/>
      <c r="D57" s="371"/>
      <c r="E57" s="371"/>
    </row>
    <row r="58" spans="1:7" ht="14.25" customHeight="1" thickBot="1" x14ac:dyDescent="0.3">
      <c r="A58" s="372"/>
      <c r="B58" s="373"/>
      <c r="D58" s="374"/>
      <c r="F58" s="375"/>
      <c r="G58" s="375"/>
    </row>
    <row r="59" spans="1:7" ht="15" customHeight="1" x14ac:dyDescent="0.3">
      <c r="B59" s="376" t="s">
        <v>24</v>
      </c>
      <c r="C59" s="376"/>
      <c r="E59" s="377" t="s">
        <v>25</v>
      </c>
      <c r="F59" s="378"/>
      <c r="G59" s="377" t="s">
        <v>26</v>
      </c>
    </row>
    <row r="60" spans="1:7" ht="15" customHeight="1" x14ac:dyDescent="0.3">
      <c r="A60" s="379" t="s">
        <v>27</v>
      </c>
      <c r="B60" s="380"/>
      <c r="C60" s="380"/>
      <c r="E60" s="380"/>
      <c r="G60" s="380"/>
    </row>
    <row r="61" spans="1:7" ht="15" customHeight="1" x14ac:dyDescent="0.3">
      <c r="A61" s="379" t="s">
        <v>28</v>
      </c>
      <c r="B61" s="381"/>
      <c r="C61" s="381"/>
      <c r="E61" s="381"/>
      <c r="G61" s="3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6" sqref="B46"/>
    </sheetView>
  </sheetViews>
  <sheetFormatPr defaultRowHeight="13.5" x14ac:dyDescent="0.25"/>
  <cols>
    <col min="1" max="1" width="27.5703125" style="292" customWidth="1"/>
    <col min="2" max="2" width="20.42578125" style="292" customWidth="1"/>
    <col min="3" max="3" width="31.85546875" style="292" customWidth="1"/>
    <col min="4" max="4" width="25.85546875" style="292" customWidth="1"/>
    <col min="5" max="5" width="25.7109375" style="292" customWidth="1"/>
    <col min="6" max="6" width="23.140625" style="292" customWidth="1"/>
    <col min="7" max="7" width="28.42578125" style="292" customWidth="1"/>
    <col min="8" max="8" width="21.5703125" style="292" customWidth="1"/>
    <col min="9" max="9" width="9.140625" style="292" customWidth="1"/>
    <col min="10" max="16384" width="9.140625" style="329"/>
  </cols>
  <sheetData>
    <row r="14" spans="1:6" ht="15" customHeight="1" x14ac:dyDescent="0.3">
      <c r="A14" s="291"/>
      <c r="C14" s="293"/>
      <c r="F14" s="293"/>
    </row>
    <row r="15" spans="1:6" ht="18.75" customHeight="1" x14ac:dyDescent="0.3">
      <c r="A15" s="294" t="s">
        <v>0</v>
      </c>
      <c r="B15" s="294"/>
      <c r="C15" s="294"/>
      <c r="D15" s="294"/>
      <c r="E15" s="294"/>
    </row>
    <row r="16" spans="1:6" ht="16.5" customHeight="1" x14ac:dyDescent="0.3">
      <c r="A16" s="295" t="s">
        <v>1</v>
      </c>
      <c r="B16" s="296" t="s">
        <v>2</v>
      </c>
    </row>
    <row r="17" spans="1:5" ht="16.5" customHeight="1" x14ac:dyDescent="0.3">
      <c r="A17" s="297" t="s">
        <v>3</v>
      </c>
      <c r="B17" s="297" t="s">
        <v>5</v>
      </c>
      <c r="D17" s="298"/>
      <c r="E17" s="299"/>
    </row>
    <row r="18" spans="1:5" ht="16.5" customHeight="1" x14ac:dyDescent="0.3">
      <c r="A18" s="300" t="s">
        <v>4</v>
      </c>
      <c r="B18" s="297" t="s">
        <v>129</v>
      </c>
      <c r="C18" s="299"/>
      <c r="D18" s="299"/>
      <c r="E18" s="299"/>
    </row>
    <row r="19" spans="1:5" ht="16.5" customHeight="1" x14ac:dyDescent="0.3">
      <c r="A19" s="300" t="s">
        <v>6</v>
      </c>
      <c r="B19" s="301">
        <v>99.3</v>
      </c>
      <c r="C19" s="299"/>
      <c r="D19" s="299"/>
      <c r="E19" s="299"/>
    </row>
    <row r="20" spans="1:5" ht="16.5" customHeight="1" x14ac:dyDescent="0.3">
      <c r="A20" s="297" t="s">
        <v>8</v>
      </c>
      <c r="B20" s="301"/>
      <c r="C20" s="299"/>
      <c r="D20" s="299"/>
      <c r="E20" s="299"/>
    </row>
    <row r="21" spans="1:5" ht="16.5" customHeight="1" x14ac:dyDescent="0.3">
      <c r="A21" s="297" t="s">
        <v>10</v>
      </c>
      <c r="B21" s="302">
        <f>20.98/25*4/100</f>
        <v>3.3568000000000001E-2</v>
      </c>
      <c r="C21" s="299"/>
      <c r="D21" s="299"/>
      <c r="E21" s="299"/>
    </row>
    <row r="22" spans="1:5" ht="15.75" customHeight="1" x14ac:dyDescent="0.25">
      <c r="A22" s="299"/>
      <c r="B22" s="299" t="s">
        <v>11</v>
      </c>
      <c r="C22" s="299"/>
      <c r="D22" s="299"/>
      <c r="E22" s="299"/>
    </row>
    <row r="23" spans="1:5" ht="16.5" customHeight="1" x14ac:dyDescent="0.3">
      <c r="A23" s="303" t="s">
        <v>12</v>
      </c>
      <c r="B23" s="304" t="s">
        <v>13</v>
      </c>
      <c r="C23" s="303" t="s">
        <v>14</v>
      </c>
      <c r="D23" s="303" t="s">
        <v>15</v>
      </c>
      <c r="E23" s="303" t="s">
        <v>16</v>
      </c>
    </row>
    <row r="24" spans="1:5" ht="16.5" customHeight="1" x14ac:dyDescent="0.3">
      <c r="A24" s="305">
        <v>1</v>
      </c>
      <c r="B24" s="306">
        <v>2991018</v>
      </c>
      <c r="C24" s="306">
        <v>6322.25</v>
      </c>
      <c r="D24" s="307">
        <v>1.33</v>
      </c>
      <c r="E24" s="308">
        <v>4.53</v>
      </c>
    </row>
    <row r="25" spans="1:5" ht="16.5" customHeight="1" x14ac:dyDescent="0.3">
      <c r="A25" s="305">
        <v>2</v>
      </c>
      <c r="B25" s="306">
        <v>2998826</v>
      </c>
      <c r="C25" s="306">
        <v>6341.61</v>
      </c>
      <c r="D25" s="307">
        <v>1.31</v>
      </c>
      <c r="E25" s="307">
        <v>4.53</v>
      </c>
    </row>
    <row r="26" spans="1:5" ht="16.5" customHeight="1" x14ac:dyDescent="0.3">
      <c r="A26" s="305">
        <v>3</v>
      </c>
      <c r="B26" s="306">
        <v>2999608</v>
      </c>
      <c r="C26" s="306">
        <v>6426.37</v>
      </c>
      <c r="D26" s="307">
        <v>1.33</v>
      </c>
      <c r="E26" s="307">
        <v>4.53</v>
      </c>
    </row>
    <row r="27" spans="1:5" ht="16.5" customHeight="1" x14ac:dyDescent="0.3">
      <c r="A27" s="305">
        <v>4</v>
      </c>
      <c r="B27" s="306">
        <v>3038014</v>
      </c>
      <c r="C27" s="306">
        <v>6497.98</v>
      </c>
      <c r="D27" s="307">
        <v>1.33</v>
      </c>
      <c r="E27" s="307">
        <v>4.53</v>
      </c>
    </row>
    <row r="28" spans="1:5" ht="16.5" customHeight="1" x14ac:dyDescent="0.3">
      <c r="A28" s="305">
        <v>5</v>
      </c>
      <c r="B28" s="306">
        <v>3031915</v>
      </c>
      <c r="C28" s="306">
        <v>6535.4</v>
      </c>
      <c r="D28" s="307">
        <v>1.32</v>
      </c>
      <c r="E28" s="307">
        <v>4.53</v>
      </c>
    </row>
    <row r="29" spans="1:5" ht="16.5" customHeight="1" x14ac:dyDescent="0.3">
      <c r="A29" s="305">
        <v>6</v>
      </c>
      <c r="B29" s="309">
        <v>3037831</v>
      </c>
      <c r="C29" s="309">
        <v>6535.47</v>
      </c>
      <c r="D29" s="310">
        <v>1.3</v>
      </c>
      <c r="E29" s="310">
        <v>4.53</v>
      </c>
    </row>
    <row r="30" spans="1:5" ht="16.5" customHeight="1" x14ac:dyDescent="0.3">
      <c r="A30" s="311" t="s">
        <v>17</v>
      </c>
      <c r="B30" s="312">
        <f>AVERAGE(B24:B29)</f>
        <v>3016202</v>
      </c>
      <c r="C30" s="313">
        <f>AVERAGE(C24:C29)</f>
        <v>6443.18</v>
      </c>
      <c r="D30" s="314">
        <f>AVERAGE(D24:D29)</f>
        <v>1.32</v>
      </c>
      <c r="E30" s="314">
        <f>AVERAGE(E24:E29)</f>
        <v>4.53</v>
      </c>
    </row>
    <row r="31" spans="1:5" ht="16.5" customHeight="1" x14ac:dyDescent="0.3">
      <c r="A31" s="315" t="s">
        <v>18</v>
      </c>
      <c r="B31" s="316">
        <f>(STDEV(B24:B29)/B30)</f>
        <v>7.2667574060197287E-3</v>
      </c>
      <c r="C31" s="317"/>
      <c r="D31" s="317"/>
      <c r="E31" s="318"/>
    </row>
    <row r="32" spans="1:5" s="292" customFormat="1" ht="16.5" customHeight="1" x14ac:dyDescent="0.3">
      <c r="A32" s="319" t="s">
        <v>19</v>
      </c>
      <c r="B32" s="320">
        <f>COUNT(B24:B29)</f>
        <v>6</v>
      </c>
      <c r="C32" s="321"/>
      <c r="D32" s="322"/>
      <c r="E32" s="323"/>
    </row>
    <row r="33" spans="1:5" s="292" customFormat="1" ht="15.75" customHeight="1" x14ac:dyDescent="0.25">
      <c r="A33" s="299"/>
      <c r="B33" s="299"/>
      <c r="C33" s="299"/>
      <c r="D33" s="299"/>
      <c r="E33" s="299"/>
    </row>
    <row r="34" spans="1:5" s="292" customFormat="1" ht="16.5" customHeight="1" x14ac:dyDescent="0.3">
      <c r="A34" s="300" t="s">
        <v>20</v>
      </c>
      <c r="B34" s="324" t="s">
        <v>21</v>
      </c>
      <c r="C34" s="325"/>
      <c r="D34" s="325"/>
      <c r="E34" s="325"/>
    </row>
    <row r="35" spans="1:5" ht="16.5" customHeight="1" x14ac:dyDescent="0.3">
      <c r="A35" s="300"/>
      <c r="B35" s="324" t="s">
        <v>22</v>
      </c>
      <c r="C35" s="325"/>
      <c r="D35" s="325"/>
      <c r="E35" s="325"/>
    </row>
    <row r="36" spans="1:5" ht="16.5" customHeight="1" x14ac:dyDescent="0.3">
      <c r="A36" s="300"/>
      <c r="B36" s="324" t="s">
        <v>23</v>
      </c>
      <c r="C36" s="325"/>
      <c r="D36" s="325"/>
      <c r="E36" s="325"/>
    </row>
    <row r="37" spans="1:5" ht="15.75" customHeight="1" x14ac:dyDescent="0.25">
      <c r="A37" s="299"/>
      <c r="B37" s="299"/>
      <c r="C37" s="299"/>
      <c r="D37" s="299"/>
      <c r="E37" s="299"/>
    </row>
    <row r="38" spans="1:5" ht="16.5" customHeight="1" x14ac:dyDescent="0.3">
      <c r="A38" s="295" t="s">
        <v>1</v>
      </c>
      <c r="B38" s="296" t="s">
        <v>2</v>
      </c>
    </row>
    <row r="39" spans="1:5" ht="16.5" customHeight="1" x14ac:dyDescent="0.3">
      <c r="A39" s="300" t="s">
        <v>4</v>
      </c>
      <c r="B39" s="297" t="s">
        <v>129</v>
      </c>
      <c r="C39" s="299"/>
      <c r="D39" s="299"/>
      <c r="E39" s="299"/>
    </row>
    <row r="40" spans="1:5" ht="16.5" customHeight="1" x14ac:dyDescent="0.3">
      <c r="A40" s="300" t="s">
        <v>6</v>
      </c>
      <c r="B40" s="301">
        <v>99.3</v>
      </c>
      <c r="C40" s="299"/>
      <c r="D40" s="299"/>
      <c r="E40" s="299"/>
    </row>
    <row r="41" spans="1:5" ht="16.5" customHeight="1" x14ac:dyDescent="0.3">
      <c r="A41" s="297" t="s">
        <v>8</v>
      </c>
      <c r="B41" s="301"/>
      <c r="C41" s="299"/>
      <c r="D41" s="299"/>
      <c r="E41" s="299"/>
    </row>
    <row r="42" spans="1:5" ht="16.5" customHeight="1" x14ac:dyDescent="0.3">
      <c r="A42" s="297" t="s">
        <v>10</v>
      </c>
      <c r="B42" s="302">
        <v>3.3568000000000001E-2</v>
      </c>
      <c r="C42" s="299"/>
      <c r="D42" s="299"/>
      <c r="E42" s="299"/>
    </row>
    <row r="43" spans="1:5" ht="15.75" customHeight="1" x14ac:dyDescent="0.25">
      <c r="A43" s="299"/>
      <c r="B43" s="299"/>
      <c r="C43" s="299"/>
      <c r="D43" s="299"/>
      <c r="E43" s="299"/>
    </row>
    <row r="44" spans="1:5" ht="16.5" customHeight="1" x14ac:dyDescent="0.3">
      <c r="A44" s="303" t="s">
        <v>12</v>
      </c>
      <c r="B44" s="304" t="s">
        <v>13</v>
      </c>
      <c r="C44" s="303" t="s">
        <v>14</v>
      </c>
      <c r="D44" s="303" t="s">
        <v>15</v>
      </c>
      <c r="E44" s="303" t="s">
        <v>16</v>
      </c>
    </row>
    <row r="45" spans="1:5" ht="16.5" customHeight="1" x14ac:dyDescent="0.3">
      <c r="A45" s="305">
        <v>1</v>
      </c>
      <c r="B45" s="306">
        <v>2611083</v>
      </c>
      <c r="C45" s="306">
        <v>3484.4</v>
      </c>
      <c r="D45" s="307">
        <v>1.8</v>
      </c>
      <c r="E45" s="308">
        <v>5.7</v>
      </c>
    </row>
    <row r="46" spans="1:5" ht="16.5" customHeight="1" x14ac:dyDescent="0.3">
      <c r="A46" s="305">
        <v>2</v>
      </c>
      <c r="B46" s="306">
        <v>2625178</v>
      </c>
      <c r="C46" s="306">
        <v>3472.9</v>
      </c>
      <c r="D46" s="307">
        <v>1.8</v>
      </c>
      <c r="E46" s="307">
        <v>5.7</v>
      </c>
    </row>
    <row r="47" spans="1:5" ht="16.5" customHeight="1" x14ac:dyDescent="0.3">
      <c r="A47" s="305">
        <v>3</v>
      </c>
      <c r="B47" s="306">
        <v>2605574</v>
      </c>
      <c r="C47" s="306">
        <v>3471.4</v>
      </c>
      <c r="D47" s="307">
        <v>1.8</v>
      </c>
      <c r="E47" s="307">
        <v>5.7</v>
      </c>
    </row>
    <row r="48" spans="1:5" ht="16.5" customHeight="1" x14ac:dyDescent="0.3">
      <c r="A48" s="305">
        <v>4</v>
      </c>
      <c r="B48" s="306">
        <v>2596447</v>
      </c>
      <c r="C48" s="306">
        <v>3462.7</v>
      </c>
      <c r="D48" s="307">
        <v>1.8</v>
      </c>
      <c r="E48" s="307">
        <v>5.7</v>
      </c>
    </row>
    <row r="49" spans="1:7" ht="16.5" customHeight="1" x14ac:dyDescent="0.3">
      <c r="A49" s="305">
        <v>5</v>
      </c>
      <c r="B49" s="306">
        <v>2610125</v>
      </c>
      <c r="C49" s="306">
        <v>3443</v>
      </c>
      <c r="D49" s="307">
        <v>1.8</v>
      </c>
      <c r="E49" s="307">
        <v>5.7</v>
      </c>
    </row>
    <row r="50" spans="1:7" ht="16.5" customHeight="1" x14ac:dyDescent="0.3">
      <c r="A50" s="305">
        <v>6</v>
      </c>
      <c r="B50" s="309">
        <v>2606088</v>
      </c>
      <c r="C50" s="309">
        <v>3451.3</v>
      </c>
      <c r="D50" s="310">
        <v>1.8</v>
      </c>
      <c r="E50" s="310">
        <v>5.7</v>
      </c>
    </row>
    <row r="51" spans="1:7" ht="16.5" customHeight="1" x14ac:dyDescent="0.3">
      <c r="A51" s="311" t="s">
        <v>17</v>
      </c>
      <c r="B51" s="312">
        <f>AVERAGE(B45:B50)</f>
        <v>2609082.5</v>
      </c>
      <c r="C51" s="313">
        <f>AVERAGE(C45:C50)</f>
        <v>3464.2833333333333</v>
      </c>
      <c r="D51" s="314">
        <f>AVERAGE(D45:D50)</f>
        <v>1.8</v>
      </c>
      <c r="E51" s="314">
        <f>AVERAGE(E45:E50)</f>
        <v>5.7</v>
      </c>
    </row>
    <row r="52" spans="1:7" ht="16.5" customHeight="1" x14ac:dyDescent="0.3">
      <c r="A52" s="315" t="s">
        <v>18</v>
      </c>
      <c r="B52" s="316">
        <f>(STDEV(B45:B50)/B51)</f>
        <v>3.6161741970543678E-3</v>
      </c>
      <c r="C52" s="317"/>
      <c r="D52" s="317"/>
      <c r="E52" s="318"/>
    </row>
    <row r="53" spans="1:7" s="292" customFormat="1" ht="16.5" customHeight="1" x14ac:dyDescent="0.3">
      <c r="A53" s="319" t="s">
        <v>19</v>
      </c>
      <c r="B53" s="320">
        <f>COUNT(B45:B50)</f>
        <v>6</v>
      </c>
      <c r="C53" s="321"/>
      <c r="D53" s="322"/>
      <c r="E53" s="323"/>
    </row>
    <row r="54" spans="1:7" s="292" customFormat="1" ht="15.75" customHeight="1" x14ac:dyDescent="0.25">
      <c r="A54" s="299"/>
      <c r="B54" s="299"/>
      <c r="C54" s="299"/>
      <c r="D54" s="299"/>
      <c r="E54" s="299"/>
    </row>
    <row r="55" spans="1:7" s="292" customFormat="1" ht="16.5" customHeight="1" x14ac:dyDescent="0.3">
      <c r="A55" s="300" t="s">
        <v>20</v>
      </c>
      <c r="B55" s="324" t="s">
        <v>21</v>
      </c>
      <c r="C55" s="325"/>
      <c r="D55" s="325"/>
      <c r="E55" s="325"/>
    </row>
    <row r="56" spans="1:7" ht="16.5" customHeight="1" x14ac:dyDescent="0.3">
      <c r="A56" s="300"/>
      <c r="B56" s="324" t="s">
        <v>22</v>
      </c>
      <c r="C56" s="325"/>
      <c r="D56" s="325"/>
      <c r="E56" s="325"/>
    </row>
    <row r="57" spans="1:7" ht="16.5" customHeight="1" x14ac:dyDescent="0.3">
      <c r="A57" s="300"/>
      <c r="B57" s="324" t="s">
        <v>23</v>
      </c>
      <c r="C57" s="325"/>
      <c r="D57" s="325"/>
      <c r="E57" s="325"/>
    </row>
    <row r="58" spans="1:7" ht="14.25" customHeight="1" thickBot="1" x14ac:dyDescent="0.3">
      <c r="A58" s="326"/>
      <c r="B58" s="327"/>
      <c r="D58" s="328"/>
      <c r="F58" s="329"/>
      <c r="G58" s="329"/>
    </row>
    <row r="59" spans="1:7" ht="15" customHeight="1" x14ac:dyDescent="0.3">
      <c r="B59" s="330" t="s">
        <v>24</v>
      </c>
      <c r="C59" s="330"/>
      <c r="E59" s="331" t="s">
        <v>25</v>
      </c>
      <c r="F59" s="332"/>
      <c r="G59" s="331" t="s">
        <v>26</v>
      </c>
    </row>
    <row r="60" spans="1:7" ht="15" customHeight="1" x14ac:dyDescent="0.3">
      <c r="A60" s="333" t="s">
        <v>27</v>
      </c>
      <c r="B60" s="334"/>
      <c r="C60" s="334"/>
      <c r="E60" s="334"/>
      <c r="G60" s="334"/>
    </row>
    <row r="61" spans="1:7" ht="15" customHeight="1" x14ac:dyDescent="0.3">
      <c r="A61" s="333" t="s">
        <v>28</v>
      </c>
      <c r="B61" s="335"/>
      <c r="C61" s="335"/>
      <c r="E61" s="335"/>
      <c r="G61" s="3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98" customWidth="1"/>
    <col min="2" max="2" width="18.42578125" style="198" customWidth="1"/>
    <col min="3" max="3" width="14.28515625" style="198" customWidth="1"/>
    <col min="4" max="4" width="15" style="198" customWidth="1"/>
    <col min="5" max="5" width="9.140625" style="198" customWidth="1"/>
    <col min="6" max="6" width="27.85546875" style="198" customWidth="1"/>
    <col min="7" max="7" width="12.28515625" style="198" customWidth="1"/>
    <col min="8" max="8" width="9.140625" style="198" customWidth="1"/>
    <col min="9" max="16384" width="9.140625" style="199"/>
  </cols>
  <sheetData>
    <row r="10" spans="1:7" ht="13.5" customHeight="1" thickBot="1" x14ac:dyDescent="0.35"/>
    <row r="11" spans="1:7" ht="13.5" customHeight="1" thickBot="1" x14ac:dyDescent="0.35">
      <c r="A11" s="244" t="s">
        <v>29</v>
      </c>
      <c r="B11" s="245"/>
      <c r="C11" s="245"/>
      <c r="D11" s="245"/>
      <c r="E11" s="245"/>
      <c r="F11" s="246"/>
      <c r="G11" s="200"/>
    </row>
    <row r="12" spans="1:7" ht="16.5" customHeight="1" x14ac:dyDescent="0.3">
      <c r="A12" s="247" t="s">
        <v>30</v>
      </c>
      <c r="B12" s="247"/>
      <c r="C12" s="247"/>
      <c r="D12" s="247"/>
      <c r="E12" s="247"/>
      <c r="F12" s="247"/>
      <c r="G12" s="201"/>
    </row>
    <row r="14" spans="1:7" ht="16.5" customHeight="1" x14ac:dyDescent="0.3">
      <c r="A14" s="248" t="s">
        <v>31</v>
      </c>
      <c r="B14" s="248"/>
      <c r="C14" s="202" t="s">
        <v>5</v>
      </c>
    </row>
    <row r="15" spans="1:7" ht="16.5" customHeight="1" x14ac:dyDescent="0.3">
      <c r="A15" s="248" t="s">
        <v>32</v>
      </c>
      <c r="B15" s="248"/>
      <c r="C15" s="202" t="s">
        <v>135</v>
      </c>
    </row>
    <row r="16" spans="1:7" ht="16.5" customHeight="1" x14ac:dyDescent="0.3">
      <c r="A16" s="248" t="s">
        <v>33</v>
      </c>
      <c r="B16" s="248"/>
      <c r="C16" s="202" t="s">
        <v>9</v>
      </c>
    </row>
    <row r="17" spans="1:5" ht="16.5" customHeight="1" x14ac:dyDescent="0.3">
      <c r="A17" s="248" t="s">
        <v>34</v>
      </c>
      <c r="B17" s="248"/>
      <c r="C17" s="202" t="s">
        <v>9</v>
      </c>
    </row>
    <row r="18" spans="1:5" ht="16.5" customHeight="1" x14ac:dyDescent="0.3">
      <c r="A18" s="248" t="s">
        <v>35</v>
      </c>
      <c r="B18" s="248"/>
      <c r="C18" s="203" t="s">
        <v>136</v>
      </c>
    </row>
    <row r="19" spans="1:5" ht="16.5" customHeight="1" x14ac:dyDescent="0.3">
      <c r="A19" s="248" t="s">
        <v>36</v>
      </c>
      <c r="B19" s="248"/>
      <c r="C19" s="203" t="e">
        <f>#REF!</f>
        <v>#REF!</v>
      </c>
    </row>
    <row r="20" spans="1:5" ht="16.5" customHeight="1" x14ac:dyDescent="0.3">
      <c r="A20" s="204"/>
      <c r="B20" s="204"/>
      <c r="C20" s="205"/>
    </row>
    <row r="21" spans="1:5" ht="16.5" customHeight="1" x14ac:dyDescent="0.3">
      <c r="A21" s="247" t="s">
        <v>1</v>
      </c>
      <c r="B21" s="247"/>
      <c r="C21" s="206" t="s">
        <v>37</v>
      </c>
      <c r="D21" s="207"/>
    </row>
    <row r="22" spans="1:5" ht="15.75" customHeight="1" thickBot="1" x14ac:dyDescent="0.35">
      <c r="A22" s="249"/>
      <c r="B22" s="249"/>
      <c r="C22" s="208"/>
      <c r="D22" s="249"/>
      <c r="E22" s="249"/>
    </row>
    <row r="23" spans="1:5" ht="33.75" customHeight="1" thickBot="1" x14ac:dyDescent="0.35">
      <c r="C23" s="209" t="s">
        <v>38</v>
      </c>
      <c r="D23" s="210" t="s">
        <v>39</v>
      </c>
      <c r="E23" s="211"/>
    </row>
    <row r="24" spans="1:5" ht="15.75" customHeight="1" x14ac:dyDescent="0.3">
      <c r="C24" s="212">
        <v>1080.81</v>
      </c>
      <c r="D24" s="213">
        <f t="shared" ref="D24:D43" si="0">(C24-$C$46)/$C$46</f>
        <v>6.4396456076456646E-3</v>
      </c>
      <c r="E24" s="214"/>
    </row>
    <row r="25" spans="1:5" ht="15.75" customHeight="1" x14ac:dyDescent="0.3">
      <c r="C25" s="212">
        <v>1086.03</v>
      </c>
      <c r="D25" s="215">
        <f t="shared" si="0"/>
        <v>1.1300458285241115E-2</v>
      </c>
      <c r="E25" s="214"/>
    </row>
    <row r="26" spans="1:5" ht="15.75" customHeight="1" x14ac:dyDescent="0.3">
      <c r="C26" s="212">
        <v>1106.0899999999999</v>
      </c>
      <c r="D26" s="215">
        <f t="shared" si="0"/>
        <v>2.9980133057762943E-2</v>
      </c>
      <c r="E26" s="214"/>
    </row>
    <row r="27" spans="1:5" ht="15.75" customHeight="1" x14ac:dyDescent="0.3">
      <c r="C27" s="212">
        <v>1036.5</v>
      </c>
      <c r="D27" s="215">
        <f t="shared" si="0"/>
        <v>-3.4821390741828086E-2</v>
      </c>
      <c r="E27" s="214"/>
    </row>
    <row r="28" spans="1:5" ht="15.75" customHeight="1" x14ac:dyDescent="0.3">
      <c r="C28" s="212">
        <v>1090.06</v>
      </c>
      <c r="D28" s="215">
        <f t="shared" si="0"/>
        <v>1.5053154662771656E-2</v>
      </c>
      <c r="E28" s="214"/>
    </row>
    <row r="29" spans="1:5" ht="15.75" customHeight="1" x14ac:dyDescent="0.3">
      <c r="C29" s="212">
        <v>1073.71</v>
      </c>
      <c r="D29" s="215">
        <f t="shared" si="0"/>
        <v>-1.7180458601852503E-4</v>
      </c>
      <c r="E29" s="214"/>
    </row>
    <row r="30" spans="1:5" ht="15.75" customHeight="1" x14ac:dyDescent="0.3">
      <c r="C30" s="212">
        <v>1038.28</v>
      </c>
      <c r="D30" s="215">
        <f t="shared" si="0"/>
        <v>-3.3163872242571439E-2</v>
      </c>
      <c r="E30" s="214"/>
    </row>
    <row r="31" spans="1:5" ht="15.75" customHeight="1" x14ac:dyDescent="0.3">
      <c r="C31" s="212">
        <v>1080.68</v>
      </c>
      <c r="D31" s="215">
        <f t="shared" si="0"/>
        <v>6.3185908857899499E-3</v>
      </c>
      <c r="E31" s="214"/>
    </row>
    <row r="32" spans="1:5" ht="15.75" customHeight="1" x14ac:dyDescent="0.3">
      <c r="C32" s="212">
        <v>1046.31</v>
      </c>
      <c r="D32" s="215">
        <f t="shared" si="0"/>
        <v>-2.568641519255398E-2</v>
      </c>
      <c r="E32" s="214"/>
    </row>
    <row r="33" spans="1:7" ht="15.75" customHeight="1" x14ac:dyDescent="0.3">
      <c r="C33" s="212">
        <v>1069.1099999999999</v>
      </c>
      <c r="D33" s="215">
        <f t="shared" si="0"/>
        <v>-4.4552793593786045E-3</v>
      </c>
      <c r="E33" s="214"/>
    </row>
    <row r="34" spans="1:7" ht="15.75" customHeight="1" x14ac:dyDescent="0.3">
      <c r="C34" s="212">
        <v>1057.93</v>
      </c>
      <c r="D34" s="215">
        <f t="shared" si="0"/>
        <v>-1.4865985438979381E-2</v>
      </c>
      <c r="E34" s="214"/>
    </row>
    <row r="35" spans="1:7" ht="15.75" customHeight="1" x14ac:dyDescent="0.3">
      <c r="C35" s="212">
        <v>1058.79</v>
      </c>
      <c r="D35" s="215">
        <f t="shared" si="0"/>
        <v>-1.4065161894394787E-2</v>
      </c>
      <c r="E35" s="214"/>
    </row>
    <row r="36" spans="1:7" ht="15.75" customHeight="1" x14ac:dyDescent="0.3">
      <c r="C36" s="212">
        <v>1078.5899999999999</v>
      </c>
      <c r="D36" s="215">
        <f t="shared" si="0"/>
        <v>4.3724034344154016E-3</v>
      </c>
      <c r="E36" s="214"/>
    </row>
    <row r="37" spans="1:7" ht="15.75" customHeight="1" x14ac:dyDescent="0.3">
      <c r="C37" s="212">
        <v>1090.68</v>
      </c>
      <c r="D37" s="215">
        <f t="shared" si="0"/>
        <v>1.5630492567007239E-2</v>
      </c>
      <c r="E37" s="214"/>
    </row>
    <row r="38" spans="1:7" ht="15.75" customHeight="1" x14ac:dyDescent="0.3">
      <c r="C38" s="212">
        <v>1059.47</v>
      </c>
      <c r="D38" s="215">
        <f t="shared" si="0"/>
        <v>-1.3431952580071951E-2</v>
      </c>
      <c r="E38" s="214"/>
    </row>
    <row r="39" spans="1:7" ht="15.75" customHeight="1" x14ac:dyDescent="0.3">
      <c r="C39" s="212">
        <v>1108.98</v>
      </c>
      <c r="D39" s="215">
        <f t="shared" si="0"/>
        <v>3.2671272643634834E-2</v>
      </c>
      <c r="E39" s="214"/>
    </row>
    <row r="40" spans="1:7" ht="15.75" customHeight="1" x14ac:dyDescent="0.3">
      <c r="C40" s="212">
        <v>1076.24</v>
      </c>
      <c r="D40" s="215">
        <f t="shared" si="0"/>
        <v>2.1841065393294235E-3</v>
      </c>
      <c r="E40" s="214"/>
    </row>
    <row r="41" spans="1:7" ht="15.75" customHeight="1" x14ac:dyDescent="0.3">
      <c r="C41" s="212">
        <v>1085.4000000000001</v>
      </c>
      <c r="D41" s="215">
        <f t="shared" si="0"/>
        <v>1.0713808479324535E-2</v>
      </c>
      <c r="E41" s="214"/>
    </row>
    <row r="42" spans="1:7" ht="15.75" customHeight="1" x14ac:dyDescent="0.3">
      <c r="C42" s="212">
        <v>1076.1099999999999</v>
      </c>
      <c r="D42" s="215">
        <f t="shared" si="0"/>
        <v>2.0630518174734971E-3</v>
      </c>
      <c r="E42" s="214"/>
    </row>
    <row r="43" spans="1:7" ht="16.5" customHeight="1" thickBot="1" x14ac:dyDescent="0.35">
      <c r="C43" s="216">
        <v>1078.1199999999999</v>
      </c>
      <c r="D43" s="217">
        <f t="shared" si="0"/>
        <v>3.9347440553981639E-3</v>
      </c>
      <c r="E43" s="214"/>
    </row>
    <row r="44" spans="1:7" ht="16.5" customHeight="1" thickBot="1" x14ac:dyDescent="0.35">
      <c r="C44" s="218"/>
      <c r="D44" s="214"/>
      <c r="E44" s="219"/>
    </row>
    <row r="45" spans="1:7" ht="16.5" customHeight="1" thickBot="1" x14ac:dyDescent="0.35">
      <c r="B45" s="220" t="s">
        <v>40</v>
      </c>
      <c r="C45" s="221">
        <f>SUM(C24:C44)</f>
        <v>21477.890000000003</v>
      </c>
      <c r="D45" s="222"/>
      <c r="E45" s="218"/>
    </row>
    <row r="46" spans="1:7" ht="17.25" customHeight="1" thickBot="1" x14ac:dyDescent="0.35">
      <c r="B46" s="220" t="s">
        <v>41</v>
      </c>
      <c r="C46" s="223">
        <f>AVERAGE(C24:C44)</f>
        <v>1073.8945000000001</v>
      </c>
      <c r="E46" s="224"/>
    </row>
    <row r="47" spans="1:7" ht="17.25" customHeight="1" thickBot="1" x14ac:dyDescent="0.35">
      <c r="A47" s="202"/>
      <c r="B47" s="225"/>
      <c r="D47" s="226"/>
      <c r="E47" s="224"/>
    </row>
    <row r="48" spans="1:7" ht="33.75" customHeight="1" thickBot="1" x14ac:dyDescent="0.35">
      <c r="B48" s="227" t="s">
        <v>41</v>
      </c>
      <c r="C48" s="210" t="s">
        <v>42</v>
      </c>
      <c r="D48" s="228"/>
      <c r="G48" s="226"/>
    </row>
    <row r="49" spans="1:6" ht="17.25" customHeight="1" thickBot="1" x14ac:dyDescent="0.35">
      <c r="B49" s="242">
        <f>C46</f>
        <v>1073.8945000000001</v>
      </c>
      <c r="C49" s="229">
        <f>-IF(C46&lt;=80,10%,IF(C46&lt;250,7.5%,5%))</f>
        <v>-0.05</v>
      </c>
      <c r="D49" s="230">
        <f>IF(C46&lt;=80,C46*0.9,IF(C46&lt;250,C46*0.925,C46*0.95))</f>
        <v>1020.199775</v>
      </c>
    </row>
    <row r="50" spans="1:6" ht="17.25" customHeight="1" thickBot="1" x14ac:dyDescent="0.35">
      <c r="B50" s="243"/>
      <c r="C50" s="231">
        <f>IF(C46&lt;=80, 10%, IF(C46&lt;250, 7.5%, 5%))</f>
        <v>0.05</v>
      </c>
      <c r="D50" s="230">
        <f>IF(C46&lt;=80, C46*1.1, IF(C46&lt;250, C46*1.075, C46*1.05))</f>
        <v>1127.5892250000002</v>
      </c>
    </row>
    <row r="51" spans="1:6" ht="16.5" customHeight="1" thickBot="1" x14ac:dyDescent="0.35">
      <c r="A51" s="232"/>
      <c r="B51" s="233"/>
      <c r="C51" s="202"/>
      <c r="D51" s="234"/>
      <c r="E51" s="202"/>
      <c r="F51" s="207"/>
    </row>
    <row r="52" spans="1:6" ht="16.5" customHeight="1" x14ac:dyDescent="0.3">
      <c r="A52" s="202"/>
      <c r="B52" s="235" t="s">
        <v>24</v>
      </c>
      <c r="C52" s="235"/>
      <c r="D52" s="236" t="s">
        <v>25</v>
      </c>
      <c r="E52" s="237"/>
      <c r="F52" s="236" t="s">
        <v>26</v>
      </c>
    </row>
    <row r="53" spans="1:6" ht="34.5" customHeight="1" x14ac:dyDescent="0.3">
      <c r="A53" s="204" t="s">
        <v>27</v>
      </c>
      <c r="B53" s="238"/>
      <c r="C53" s="202"/>
      <c r="D53" s="238"/>
      <c r="E53" s="202"/>
      <c r="F53" s="238"/>
    </row>
    <row r="54" spans="1:6" ht="34.5" customHeight="1" x14ac:dyDescent="0.3">
      <c r="A54" s="204" t="s">
        <v>28</v>
      </c>
      <c r="B54" s="239"/>
      <c r="C54" s="240"/>
      <c r="D54" s="239"/>
      <c r="E54" s="202"/>
      <c r="F54" s="24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7" zoomScale="42" zoomScaleNormal="40" zoomScalePageLayoutView="42" workbookViewId="0">
      <selection activeCell="C139" sqref="C13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80" t="s">
        <v>43</v>
      </c>
      <c r="B1" s="280"/>
      <c r="C1" s="280"/>
      <c r="D1" s="280"/>
      <c r="E1" s="280"/>
      <c r="F1" s="280"/>
      <c r="G1" s="280"/>
      <c r="H1" s="280"/>
      <c r="I1" s="280"/>
    </row>
    <row r="2" spans="1:9" ht="18.75" customHeight="1" x14ac:dyDescent="0.25">
      <c r="A2" s="280"/>
      <c r="B2" s="280"/>
      <c r="C2" s="280"/>
      <c r="D2" s="280"/>
      <c r="E2" s="280"/>
      <c r="F2" s="280"/>
      <c r="G2" s="280"/>
      <c r="H2" s="280"/>
      <c r="I2" s="280"/>
    </row>
    <row r="3" spans="1:9" ht="18.7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</row>
    <row r="4" spans="1:9" ht="18.75" customHeight="1" x14ac:dyDescent="0.25">
      <c r="A4" s="280"/>
      <c r="B4" s="280"/>
      <c r="C4" s="280"/>
      <c r="D4" s="280"/>
      <c r="E4" s="280"/>
      <c r="F4" s="280"/>
      <c r="G4" s="280"/>
      <c r="H4" s="280"/>
      <c r="I4" s="280"/>
    </row>
    <row r="5" spans="1:9" ht="18.75" customHeight="1" x14ac:dyDescent="0.25">
      <c r="A5" s="280"/>
      <c r="B5" s="280"/>
      <c r="C5" s="280"/>
      <c r="D5" s="280"/>
      <c r="E5" s="280"/>
      <c r="F5" s="280"/>
      <c r="G5" s="280"/>
      <c r="H5" s="280"/>
      <c r="I5" s="280"/>
    </row>
    <row r="6" spans="1:9" ht="18.75" customHeight="1" x14ac:dyDescent="0.25">
      <c r="A6" s="280"/>
      <c r="B6" s="280"/>
      <c r="C6" s="280"/>
      <c r="D6" s="280"/>
      <c r="E6" s="280"/>
      <c r="F6" s="280"/>
      <c r="G6" s="280"/>
      <c r="H6" s="280"/>
      <c r="I6" s="280"/>
    </row>
    <row r="7" spans="1:9" ht="18.75" customHeight="1" x14ac:dyDescent="0.25">
      <c r="A7" s="280"/>
      <c r="B7" s="280"/>
      <c r="C7" s="280"/>
      <c r="D7" s="280"/>
      <c r="E7" s="280"/>
      <c r="F7" s="280"/>
      <c r="G7" s="280"/>
      <c r="H7" s="280"/>
      <c r="I7" s="280"/>
    </row>
    <row r="8" spans="1:9" x14ac:dyDescent="0.25">
      <c r="A8" s="281" t="s">
        <v>44</v>
      </c>
      <c r="B8" s="281"/>
      <c r="C8" s="281"/>
      <c r="D8" s="281"/>
      <c r="E8" s="281"/>
      <c r="F8" s="281"/>
      <c r="G8" s="281"/>
      <c r="H8" s="281"/>
      <c r="I8" s="281"/>
    </row>
    <row r="9" spans="1:9" x14ac:dyDescent="0.25">
      <c r="A9" s="281"/>
      <c r="B9" s="281"/>
      <c r="C9" s="281"/>
      <c r="D9" s="281"/>
      <c r="E9" s="281"/>
      <c r="F9" s="281"/>
      <c r="G9" s="281"/>
      <c r="H9" s="281"/>
      <c r="I9" s="281"/>
    </row>
    <row r="10" spans="1:9" x14ac:dyDescent="0.25">
      <c r="A10" s="281"/>
      <c r="B10" s="281"/>
      <c r="C10" s="281"/>
      <c r="D10" s="281"/>
      <c r="E10" s="281"/>
      <c r="F10" s="281"/>
      <c r="G10" s="281"/>
      <c r="H10" s="281"/>
      <c r="I10" s="281"/>
    </row>
    <row r="11" spans="1:9" x14ac:dyDescent="0.25">
      <c r="A11" s="281"/>
      <c r="B11" s="281"/>
      <c r="C11" s="281"/>
      <c r="D11" s="281"/>
      <c r="E11" s="281"/>
      <c r="F11" s="281"/>
      <c r="G11" s="281"/>
      <c r="H11" s="281"/>
      <c r="I11" s="281"/>
    </row>
    <row r="12" spans="1:9" x14ac:dyDescent="0.25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 x14ac:dyDescent="0.25">
      <c r="A13" s="281"/>
      <c r="B13" s="281"/>
      <c r="C13" s="281"/>
      <c r="D13" s="281"/>
      <c r="E13" s="281"/>
      <c r="F13" s="281"/>
      <c r="G13" s="281"/>
      <c r="H13" s="281"/>
      <c r="I13" s="281"/>
    </row>
    <row r="14" spans="1:9" x14ac:dyDescent="0.25">
      <c r="A14" s="281"/>
      <c r="B14" s="281"/>
      <c r="C14" s="281"/>
      <c r="D14" s="281"/>
      <c r="E14" s="281"/>
      <c r="F14" s="281"/>
      <c r="G14" s="281"/>
      <c r="H14" s="281"/>
      <c r="I14" s="281"/>
    </row>
    <row r="15" spans="1:9" ht="19.5" customHeight="1" x14ac:dyDescent="0.3">
      <c r="A15" s="5"/>
    </row>
    <row r="16" spans="1:9" ht="19.5" customHeight="1" x14ac:dyDescent="0.3">
      <c r="A16" s="253" t="s">
        <v>29</v>
      </c>
      <c r="B16" s="254"/>
      <c r="C16" s="254"/>
      <c r="D16" s="254"/>
      <c r="E16" s="254"/>
      <c r="F16" s="254"/>
      <c r="G16" s="254"/>
      <c r="H16" s="255"/>
    </row>
    <row r="17" spans="1:14" ht="20.25" customHeight="1" x14ac:dyDescent="0.25">
      <c r="A17" s="256" t="s">
        <v>45</v>
      </c>
      <c r="B17" s="256"/>
      <c r="C17" s="256"/>
      <c r="D17" s="256"/>
      <c r="E17" s="256"/>
      <c r="F17" s="256"/>
      <c r="G17" s="256"/>
      <c r="H17" s="256"/>
    </row>
    <row r="18" spans="1:14" ht="26.25" customHeight="1" x14ac:dyDescent="0.4">
      <c r="A18" s="7" t="s">
        <v>31</v>
      </c>
      <c r="B18" s="252" t="s">
        <v>5</v>
      </c>
      <c r="C18" s="252"/>
      <c r="D18" s="153"/>
      <c r="E18" s="8"/>
      <c r="F18" s="9"/>
      <c r="G18" s="9"/>
      <c r="H18" s="9"/>
    </row>
    <row r="19" spans="1:14" ht="26.25" customHeight="1" x14ac:dyDescent="0.4">
      <c r="A19" s="7" t="s">
        <v>32</v>
      </c>
      <c r="B19" s="10" t="s">
        <v>135</v>
      </c>
      <c r="C19" s="162">
        <v>1</v>
      </c>
      <c r="D19" s="9"/>
      <c r="E19" s="9"/>
      <c r="F19" s="9"/>
      <c r="G19" s="9"/>
      <c r="H19" s="9"/>
    </row>
    <row r="20" spans="1:14" ht="26.25" customHeight="1" x14ac:dyDescent="0.4">
      <c r="A20" s="7" t="s">
        <v>33</v>
      </c>
      <c r="B20" s="257" t="s">
        <v>9</v>
      </c>
      <c r="C20" s="257"/>
      <c r="D20" s="9"/>
      <c r="E20" s="9"/>
      <c r="F20" s="9"/>
      <c r="G20" s="9"/>
      <c r="H20" s="9"/>
    </row>
    <row r="21" spans="1:14" ht="26.25" customHeight="1" x14ac:dyDescent="0.4">
      <c r="A21" s="7" t="s">
        <v>34</v>
      </c>
      <c r="B21" s="257" t="s">
        <v>9</v>
      </c>
      <c r="C21" s="257"/>
      <c r="D21" s="257"/>
      <c r="E21" s="257"/>
      <c r="F21" s="257"/>
      <c r="G21" s="257"/>
      <c r="H21" s="257"/>
      <c r="I21" s="11"/>
    </row>
    <row r="22" spans="1:14" ht="26.25" customHeight="1" x14ac:dyDescent="0.4">
      <c r="A22" s="7" t="s">
        <v>35</v>
      </c>
      <c r="B22" s="12" t="s">
        <v>11</v>
      </c>
      <c r="C22" s="9"/>
      <c r="D22" s="9"/>
      <c r="E22" s="9"/>
      <c r="F22" s="9"/>
      <c r="G22" s="9"/>
      <c r="H22" s="9"/>
    </row>
    <row r="23" spans="1:14" ht="26.25" customHeight="1" x14ac:dyDescent="0.4">
      <c r="A23" s="7" t="s">
        <v>36</v>
      </c>
      <c r="B23" s="12"/>
      <c r="C23" s="9"/>
      <c r="D23" s="9"/>
      <c r="E23" s="9"/>
      <c r="F23" s="9"/>
      <c r="G23" s="9"/>
      <c r="H23" s="9"/>
    </row>
    <row r="24" spans="1:14" ht="18.75" x14ac:dyDescent="0.3">
      <c r="A24" s="7"/>
      <c r="B24" s="13"/>
    </row>
    <row r="25" spans="1:14" ht="18.75" x14ac:dyDescent="0.3">
      <c r="A25" s="14" t="s">
        <v>1</v>
      </c>
      <c r="B25" s="13"/>
    </row>
    <row r="26" spans="1:14" ht="26.25" customHeight="1" x14ac:dyDescent="0.4">
      <c r="A26" s="15" t="s">
        <v>4</v>
      </c>
      <c r="B26" s="252" t="s">
        <v>130</v>
      </c>
      <c r="C26" s="252"/>
    </row>
    <row r="27" spans="1:14" ht="26.25" customHeight="1" x14ac:dyDescent="0.4">
      <c r="A27" s="16" t="s">
        <v>46</v>
      </c>
      <c r="B27" s="258" t="s">
        <v>134</v>
      </c>
      <c r="C27" s="258"/>
    </row>
    <row r="28" spans="1:14" ht="27" customHeight="1" x14ac:dyDescent="0.4">
      <c r="A28" s="16" t="s">
        <v>6</v>
      </c>
      <c r="B28" s="17">
        <v>99.02</v>
      </c>
    </row>
    <row r="29" spans="1:14" s="2" customFormat="1" ht="27" customHeight="1" x14ac:dyDescent="0.4">
      <c r="A29" s="16" t="s">
        <v>47</v>
      </c>
      <c r="B29" s="18">
        <v>0</v>
      </c>
      <c r="C29" s="259" t="s">
        <v>48</v>
      </c>
      <c r="D29" s="260"/>
      <c r="E29" s="260"/>
      <c r="F29" s="260"/>
      <c r="G29" s="261"/>
      <c r="I29" s="19"/>
      <c r="J29" s="19"/>
      <c r="K29" s="19"/>
      <c r="L29" s="19"/>
    </row>
    <row r="30" spans="1:14" s="2" customFormat="1" ht="19.5" customHeight="1" x14ac:dyDescent="0.3">
      <c r="A30" s="16" t="s">
        <v>49</v>
      </c>
      <c r="B30" s="20">
        <f>B28-B29</f>
        <v>99.02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2" customFormat="1" ht="27" customHeight="1" x14ac:dyDescent="0.4">
      <c r="A31" s="16" t="s">
        <v>50</v>
      </c>
      <c r="B31" s="23">
        <v>1</v>
      </c>
      <c r="C31" s="262" t="s">
        <v>51</v>
      </c>
      <c r="D31" s="263"/>
      <c r="E31" s="263"/>
      <c r="F31" s="263"/>
      <c r="G31" s="263"/>
      <c r="H31" s="264"/>
      <c r="I31" s="19"/>
      <c r="J31" s="19"/>
      <c r="K31" s="19"/>
      <c r="L31" s="19"/>
    </row>
    <row r="32" spans="1:14" s="2" customFormat="1" ht="27" customHeight="1" x14ac:dyDescent="0.4">
      <c r="A32" s="16" t="s">
        <v>52</v>
      </c>
      <c r="B32" s="23">
        <v>1</v>
      </c>
      <c r="C32" s="262" t="s">
        <v>53</v>
      </c>
      <c r="D32" s="263"/>
      <c r="E32" s="263"/>
      <c r="F32" s="263"/>
      <c r="G32" s="263"/>
      <c r="H32" s="264"/>
      <c r="I32" s="19"/>
      <c r="J32" s="19"/>
      <c r="K32" s="19"/>
      <c r="L32" s="24"/>
      <c r="M32" s="24"/>
      <c r="N32" s="25"/>
    </row>
    <row r="33" spans="1:14" s="2" customFormat="1" ht="17.25" customHeight="1" x14ac:dyDescent="0.3">
      <c r="A33" s="16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2" customFormat="1" ht="18.75" x14ac:dyDescent="0.3">
      <c r="A34" s="16" t="s">
        <v>54</v>
      </c>
      <c r="B34" s="28">
        <f>B31/B32</f>
        <v>1</v>
      </c>
      <c r="C34" s="6" t="s">
        <v>55</v>
      </c>
      <c r="D34" s="6"/>
      <c r="E34" s="6"/>
      <c r="F34" s="6"/>
      <c r="G34" s="6"/>
      <c r="I34" s="19"/>
      <c r="J34" s="19"/>
      <c r="K34" s="19"/>
      <c r="L34" s="24"/>
      <c r="M34" s="24"/>
      <c r="N34" s="25"/>
    </row>
    <row r="35" spans="1:14" s="2" customFormat="1" ht="19.5" customHeight="1" x14ac:dyDescent="0.3">
      <c r="A35" s="16"/>
      <c r="B35" s="20"/>
      <c r="G35" s="6"/>
      <c r="I35" s="19"/>
      <c r="J35" s="19"/>
      <c r="K35" s="19"/>
      <c r="L35" s="24"/>
      <c r="M35" s="24"/>
      <c r="N35" s="25"/>
    </row>
    <row r="36" spans="1:14" s="2" customFormat="1" ht="27" customHeight="1" x14ac:dyDescent="0.4">
      <c r="A36" s="29" t="s">
        <v>56</v>
      </c>
      <c r="B36" s="30">
        <v>100</v>
      </c>
      <c r="C36" s="6"/>
      <c r="D36" s="265" t="s">
        <v>57</v>
      </c>
      <c r="E36" s="266"/>
      <c r="F36" s="265" t="s">
        <v>58</v>
      </c>
      <c r="G36" s="267"/>
      <c r="J36" s="19"/>
      <c r="K36" s="19"/>
      <c r="L36" s="24"/>
      <c r="M36" s="24"/>
      <c r="N36" s="25"/>
    </row>
    <row r="37" spans="1:14" s="2" customFormat="1" ht="27" customHeight="1" x14ac:dyDescent="0.4">
      <c r="A37" s="31" t="s">
        <v>59</v>
      </c>
      <c r="B37" s="32">
        <v>1</v>
      </c>
      <c r="C37" s="33" t="s">
        <v>60</v>
      </c>
      <c r="D37" s="34" t="s">
        <v>61</v>
      </c>
      <c r="E37" s="35" t="s">
        <v>62</v>
      </c>
      <c r="F37" s="34" t="s">
        <v>61</v>
      </c>
      <c r="G37" s="36" t="s">
        <v>62</v>
      </c>
      <c r="I37" s="37" t="s">
        <v>63</v>
      </c>
      <c r="J37" s="19"/>
      <c r="K37" s="19"/>
      <c r="L37" s="24"/>
      <c r="M37" s="24"/>
      <c r="N37" s="25"/>
    </row>
    <row r="38" spans="1:14" s="2" customFormat="1" ht="26.25" customHeight="1" x14ac:dyDescent="0.4">
      <c r="A38" s="31" t="s">
        <v>64</v>
      </c>
      <c r="B38" s="32">
        <v>1</v>
      </c>
      <c r="C38" s="38">
        <v>1</v>
      </c>
      <c r="D38" s="39">
        <v>41703355</v>
      </c>
      <c r="E38" s="40">
        <f>IF(ISBLANK(D38),"-",$D$48/$D$45*D38)</f>
        <v>38396437.796962947</v>
      </c>
      <c r="F38" s="39">
        <v>38747544</v>
      </c>
      <c r="G38" s="41">
        <f>IF(ISBLANK(F38),"-",$D$48/$F$45*F38)</f>
        <v>37945239.345586747</v>
      </c>
      <c r="I38" s="42"/>
      <c r="J38" s="19"/>
      <c r="K38" s="19"/>
      <c r="L38" s="24"/>
      <c r="M38" s="24"/>
      <c r="N38" s="25"/>
    </row>
    <row r="39" spans="1:14" s="2" customFormat="1" ht="26.25" customHeight="1" x14ac:dyDescent="0.4">
      <c r="A39" s="31" t="s">
        <v>65</v>
      </c>
      <c r="B39" s="32">
        <v>1</v>
      </c>
      <c r="C39" s="43">
        <v>2</v>
      </c>
      <c r="D39" s="44">
        <v>41727520</v>
      </c>
      <c r="E39" s="45">
        <f>IF(ISBLANK(D39),"-",$D$48/$D$45*D39)</f>
        <v>38418686.604507655</v>
      </c>
      <c r="F39" s="44">
        <v>39087917</v>
      </c>
      <c r="G39" s="46">
        <f>IF(ISBLANK(F39),"-",$D$48/$F$45*F39)</f>
        <v>38278564.599744156</v>
      </c>
      <c r="I39" s="269">
        <f>ABS((F43/D43*D42)-F42)/D42</f>
        <v>5.869334606005929E-3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66</v>
      </c>
      <c r="B40" s="32">
        <v>1</v>
      </c>
      <c r="C40" s="43">
        <v>3</v>
      </c>
      <c r="D40" s="44">
        <v>41800435</v>
      </c>
      <c r="E40" s="45">
        <f>IF(ISBLANK(D40),"-",$D$48/$D$45*D40)</f>
        <v>38485819.722741559</v>
      </c>
      <c r="F40" s="44">
        <v>39168353</v>
      </c>
      <c r="G40" s="46">
        <f>IF(ISBLANK(F40),"-",$D$48/$F$45*F40)</f>
        <v>38357335.096062623</v>
      </c>
      <c r="I40" s="269"/>
      <c r="L40" s="24"/>
      <c r="M40" s="24"/>
      <c r="N40" s="47"/>
    </row>
    <row r="41" spans="1:14" ht="27" customHeight="1" x14ac:dyDescent="0.4">
      <c r="A41" s="31" t="s">
        <v>67</v>
      </c>
      <c r="B41" s="32">
        <v>1</v>
      </c>
      <c r="C41" s="48">
        <v>4</v>
      </c>
      <c r="D41" s="49"/>
      <c r="E41" s="50" t="str">
        <f>IF(ISBLANK(D41),"-",$D$48/$D$45*D41)</f>
        <v>-</v>
      </c>
      <c r="F41" s="49"/>
      <c r="G41" s="51" t="str">
        <f>IF(ISBLANK(F41),"-",$D$48/$F$45*F41)</f>
        <v>-</v>
      </c>
      <c r="I41" s="52"/>
      <c r="L41" s="24"/>
      <c r="M41" s="24"/>
      <c r="N41" s="47"/>
    </row>
    <row r="42" spans="1:14" ht="27" customHeight="1" x14ac:dyDescent="0.4">
      <c r="A42" s="31" t="s">
        <v>68</v>
      </c>
      <c r="B42" s="32">
        <v>1</v>
      </c>
      <c r="C42" s="53" t="s">
        <v>69</v>
      </c>
      <c r="D42" s="54">
        <f>AVERAGE(D38:D41)</f>
        <v>41743770</v>
      </c>
      <c r="E42" s="55">
        <f>AVERAGE(E38:E41)</f>
        <v>38433648.041404054</v>
      </c>
      <c r="F42" s="54">
        <f>AVERAGE(F38:F41)</f>
        <v>39001271.333333336</v>
      </c>
      <c r="G42" s="56">
        <f>AVERAGE(G38:G41)</f>
        <v>38193713.013797842</v>
      </c>
      <c r="H42" s="57"/>
    </row>
    <row r="43" spans="1:14" ht="26.25" customHeight="1" x14ac:dyDescent="0.4">
      <c r="A43" s="31" t="s">
        <v>70</v>
      </c>
      <c r="B43" s="32">
        <v>1</v>
      </c>
      <c r="C43" s="58" t="s">
        <v>71</v>
      </c>
      <c r="D43" s="59">
        <v>17.55</v>
      </c>
      <c r="E43" s="47"/>
      <c r="F43" s="59">
        <v>16.5</v>
      </c>
      <c r="H43" s="57"/>
    </row>
    <row r="44" spans="1:14" ht="26.25" customHeight="1" x14ac:dyDescent="0.4">
      <c r="A44" s="31" t="s">
        <v>72</v>
      </c>
      <c r="B44" s="32">
        <v>1</v>
      </c>
      <c r="C44" s="60" t="s">
        <v>73</v>
      </c>
      <c r="D44" s="61">
        <f>D43*$B$34</f>
        <v>17.55</v>
      </c>
      <c r="E44" s="62"/>
      <c r="F44" s="61">
        <f>F43*$B$34</f>
        <v>16.5</v>
      </c>
      <c r="H44" s="57"/>
    </row>
    <row r="45" spans="1:14" ht="19.5" customHeight="1" x14ac:dyDescent="0.3">
      <c r="A45" s="31" t="s">
        <v>74</v>
      </c>
      <c r="B45" s="63">
        <f>(B44/B43)*(B42/B41)*(B40/B39)*(B38/B37)*B36</f>
        <v>100</v>
      </c>
      <c r="C45" s="60" t="s">
        <v>75</v>
      </c>
      <c r="D45" s="64">
        <f>D44*$B$30/100</f>
        <v>17.37801</v>
      </c>
      <c r="E45" s="65"/>
      <c r="F45" s="64">
        <f>F44*$B$30/100</f>
        <v>16.3383</v>
      </c>
      <c r="H45" s="57"/>
    </row>
    <row r="46" spans="1:14" ht="19.5" customHeight="1" x14ac:dyDescent="0.3">
      <c r="A46" s="270" t="s">
        <v>76</v>
      </c>
      <c r="B46" s="271"/>
      <c r="C46" s="60" t="s">
        <v>77</v>
      </c>
      <c r="D46" s="66">
        <f>D45/$B$45</f>
        <v>0.17378009999999999</v>
      </c>
      <c r="E46" s="67"/>
      <c r="F46" s="68">
        <f>F45/$B$45</f>
        <v>0.163383</v>
      </c>
      <c r="H46" s="57"/>
    </row>
    <row r="47" spans="1:14" ht="27" customHeight="1" x14ac:dyDescent="0.4">
      <c r="A47" s="272"/>
      <c r="B47" s="273"/>
      <c r="C47" s="69" t="s">
        <v>78</v>
      </c>
      <c r="D47" s="70">
        <v>0.16</v>
      </c>
      <c r="E47" s="71"/>
      <c r="F47" s="67"/>
      <c r="H47" s="57"/>
    </row>
    <row r="48" spans="1:14" ht="18.75" x14ac:dyDescent="0.3">
      <c r="C48" s="72" t="s">
        <v>79</v>
      </c>
      <c r="D48" s="64">
        <f>D47*$B$45</f>
        <v>16</v>
      </c>
      <c r="F48" s="73"/>
      <c r="H48" s="57"/>
    </row>
    <row r="49" spans="1:12" ht="19.5" customHeight="1" x14ac:dyDescent="0.3">
      <c r="C49" s="74" t="s">
        <v>80</v>
      </c>
      <c r="D49" s="75">
        <f>D48/B34</f>
        <v>16</v>
      </c>
      <c r="F49" s="73"/>
      <c r="H49" s="57"/>
    </row>
    <row r="50" spans="1:12" ht="18.75" x14ac:dyDescent="0.3">
      <c r="C50" s="29" t="s">
        <v>81</v>
      </c>
      <c r="D50" s="76">
        <f>AVERAGE(E38:E41,G38:G41)</f>
        <v>38313680.527600951</v>
      </c>
      <c r="F50" s="77"/>
      <c r="H50" s="57"/>
    </row>
    <row r="51" spans="1:12" ht="18.75" x14ac:dyDescent="0.3">
      <c r="C51" s="31" t="s">
        <v>82</v>
      </c>
      <c r="D51" s="78">
        <f>STDEV(E38:E41,G38:G41)/D50</f>
        <v>5.0393892164928671E-3</v>
      </c>
      <c r="F51" s="77"/>
      <c r="H51" s="57"/>
    </row>
    <row r="52" spans="1:12" ht="19.5" customHeight="1" x14ac:dyDescent="0.3">
      <c r="C52" s="79" t="s">
        <v>19</v>
      </c>
      <c r="D52" s="80">
        <f>COUNT(E38:E41,G38:G41)</f>
        <v>6</v>
      </c>
      <c r="F52" s="77"/>
    </row>
    <row r="54" spans="1:12" ht="18.75" x14ac:dyDescent="0.3">
      <c r="A54" s="81" t="s">
        <v>1</v>
      </c>
      <c r="B54" s="82" t="s">
        <v>83</v>
      </c>
    </row>
    <row r="55" spans="1:12" ht="18.75" x14ac:dyDescent="0.3">
      <c r="A55" s="6" t="s">
        <v>84</v>
      </c>
      <c r="B55" s="83" t="str">
        <f>B21</f>
        <v>Sulphamethoxazole 800 mg, Trimethoprim 160 mg</v>
      </c>
    </row>
    <row r="56" spans="1:12" ht="26.25" customHeight="1" x14ac:dyDescent="0.4">
      <c r="A56" s="84" t="s">
        <v>85</v>
      </c>
      <c r="B56" s="85">
        <v>800</v>
      </c>
      <c r="C56" s="6" t="str">
        <f>B20</f>
        <v>Sulphamethoxazole 800 mg, Trimethoprim 160 mg</v>
      </c>
      <c r="H56" s="86"/>
    </row>
    <row r="57" spans="1:12" ht="18.75" x14ac:dyDescent="0.3">
      <c r="A57" s="83" t="s">
        <v>86</v>
      </c>
      <c r="B57" s="154">
        <f>'Uniformity (2)'!C46</f>
        <v>1073.8945000000001</v>
      </c>
      <c r="H57" s="86"/>
    </row>
    <row r="58" spans="1:12" ht="19.5" customHeight="1" x14ac:dyDescent="0.3">
      <c r="H58" s="86"/>
    </row>
    <row r="59" spans="1:12" s="2" customFormat="1" ht="27" customHeight="1" x14ac:dyDescent="0.4">
      <c r="A59" s="29" t="s">
        <v>87</v>
      </c>
      <c r="B59" s="30">
        <v>100</v>
      </c>
      <c r="C59" s="6"/>
      <c r="D59" s="87" t="s">
        <v>88</v>
      </c>
      <c r="E59" s="88" t="s">
        <v>60</v>
      </c>
      <c r="F59" s="88" t="s">
        <v>61</v>
      </c>
      <c r="G59" s="88" t="s">
        <v>89</v>
      </c>
      <c r="H59" s="33" t="s">
        <v>90</v>
      </c>
      <c r="L59" s="19"/>
    </row>
    <row r="60" spans="1:12" s="2" customFormat="1" ht="26.25" customHeight="1" x14ac:dyDescent="0.4">
      <c r="A60" s="31" t="s">
        <v>91</v>
      </c>
      <c r="B60" s="32">
        <v>2</v>
      </c>
      <c r="C60" s="274" t="s">
        <v>92</v>
      </c>
      <c r="D60" s="277">
        <v>1090.46</v>
      </c>
      <c r="E60" s="89">
        <v>1</v>
      </c>
      <c r="F60" s="90">
        <v>37272973</v>
      </c>
      <c r="G60" s="155">
        <f>IF(ISBLANK(F60),"-",(F60/$D$50*$D$47*$B$68)*($B$57/$D$60))</f>
        <v>766.44682005234608</v>
      </c>
      <c r="H60" s="173">
        <f t="shared" ref="H60:H71" si="0">IF(ISBLANK(F60),"-",(G60/$B$56)*100)</f>
        <v>95.80585250654326</v>
      </c>
      <c r="L60" s="19"/>
    </row>
    <row r="61" spans="1:12" s="2" customFormat="1" ht="26.25" customHeight="1" x14ac:dyDescent="0.4">
      <c r="A61" s="31" t="s">
        <v>93</v>
      </c>
      <c r="B61" s="32">
        <v>100</v>
      </c>
      <c r="C61" s="275"/>
      <c r="D61" s="278"/>
      <c r="E61" s="91">
        <v>2</v>
      </c>
      <c r="F61" s="44">
        <v>37366612</v>
      </c>
      <c r="G61" s="156">
        <f>IF(ISBLANK(F61),"-",(F61/$D$50*$D$47*$B$68)*($B$57/$D$60))</f>
        <v>768.37232553276169</v>
      </c>
      <c r="H61" s="174">
        <f t="shared" si="0"/>
        <v>96.046540691595212</v>
      </c>
      <c r="L61" s="19"/>
    </row>
    <row r="62" spans="1:12" s="2" customFormat="1" ht="26.25" customHeight="1" x14ac:dyDescent="0.4">
      <c r="A62" s="31" t="s">
        <v>94</v>
      </c>
      <c r="B62" s="32">
        <v>1</v>
      </c>
      <c r="C62" s="275"/>
      <c r="D62" s="278"/>
      <c r="E62" s="91">
        <v>3</v>
      </c>
      <c r="F62" s="92">
        <v>37342486</v>
      </c>
      <c r="G62" s="156">
        <f>IF(ISBLANK(F62),"-",(F62/$D$50*$D$47*$B$68)*($B$57/$D$60))</f>
        <v>767.87622086248007</v>
      </c>
      <c r="H62" s="174">
        <f t="shared" si="0"/>
        <v>95.984527607810008</v>
      </c>
      <c r="L62" s="19"/>
    </row>
    <row r="63" spans="1:12" ht="27" customHeight="1" x14ac:dyDescent="0.4">
      <c r="A63" s="31" t="s">
        <v>95</v>
      </c>
      <c r="B63" s="32">
        <v>1</v>
      </c>
      <c r="C63" s="276"/>
      <c r="D63" s="279"/>
      <c r="E63" s="93">
        <v>4</v>
      </c>
      <c r="F63" s="94"/>
      <c r="G63" s="156" t="str">
        <f>IF(ISBLANK(F63),"-",(F63/$D$50*$D$47*$B$68)*($B$57/$D$60))</f>
        <v>-</v>
      </c>
      <c r="H63" s="174" t="str">
        <f t="shared" si="0"/>
        <v>-</v>
      </c>
    </row>
    <row r="64" spans="1:12" ht="26.25" customHeight="1" x14ac:dyDescent="0.4">
      <c r="A64" s="31" t="s">
        <v>96</v>
      </c>
      <c r="B64" s="32">
        <v>1</v>
      </c>
      <c r="C64" s="274" t="s">
        <v>97</v>
      </c>
      <c r="D64" s="277">
        <v>1057.0999999999999</v>
      </c>
      <c r="E64" s="89">
        <v>1</v>
      </c>
      <c r="F64" s="90">
        <v>36406157</v>
      </c>
      <c r="G64" s="155">
        <f>IF(ISBLANK(F64),"-",(F64/$D$50*$D$47*$B$68)*($B$57/$D$64))</f>
        <v>772.24747380153656</v>
      </c>
      <c r="H64" s="173">
        <f t="shared" si="0"/>
        <v>96.53093422519207</v>
      </c>
    </row>
    <row r="65" spans="1:8" ht="26.25" customHeight="1" x14ac:dyDescent="0.4">
      <c r="A65" s="31" t="s">
        <v>98</v>
      </c>
      <c r="B65" s="32">
        <v>1</v>
      </c>
      <c r="C65" s="275"/>
      <c r="D65" s="278"/>
      <c r="E65" s="91">
        <v>2</v>
      </c>
      <c r="F65" s="44">
        <v>36384217</v>
      </c>
      <c r="G65" s="156">
        <f>IF(ISBLANK(F65),"-",(F65/$D$50*$D$47*$B$68)*($B$57/$D$64))</f>
        <v>771.78208247843679</v>
      </c>
      <c r="H65" s="174">
        <f t="shared" si="0"/>
        <v>96.472760309804599</v>
      </c>
    </row>
    <row r="66" spans="1:8" ht="26.25" customHeight="1" x14ac:dyDescent="0.4">
      <c r="A66" s="31" t="s">
        <v>99</v>
      </c>
      <c r="B66" s="32">
        <v>1</v>
      </c>
      <c r="C66" s="275"/>
      <c r="D66" s="278"/>
      <c r="E66" s="91">
        <v>3</v>
      </c>
      <c r="F66" s="44">
        <v>36362165</v>
      </c>
      <c r="G66" s="156">
        <f>IF(ISBLANK(F66),"-",(F66/$D$50*$D$47*$B$68)*($B$57/$D$64))</f>
        <v>771.31431541111704</v>
      </c>
      <c r="H66" s="174">
        <f t="shared" si="0"/>
        <v>96.41428942638963</v>
      </c>
    </row>
    <row r="67" spans="1:8" ht="27" customHeight="1" x14ac:dyDescent="0.4">
      <c r="A67" s="31" t="s">
        <v>100</v>
      </c>
      <c r="B67" s="32">
        <v>1</v>
      </c>
      <c r="C67" s="276"/>
      <c r="D67" s="279"/>
      <c r="E67" s="93">
        <v>4</v>
      </c>
      <c r="F67" s="94"/>
      <c r="G67" s="172" t="str">
        <f>IF(ISBLANK(F67),"-",(F67/$D$50*$D$47*$B$68)*($B$57/$D$64))</f>
        <v>-</v>
      </c>
      <c r="H67" s="175" t="str">
        <f t="shared" si="0"/>
        <v>-</v>
      </c>
    </row>
    <row r="68" spans="1:8" ht="26.25" customHeight="1" x14ac:dyDescent="0.4">
      <c r="A68" s="31" t="s">
        <v>101</v>
      </c>
      <c r="B68" s="95">
        <f>(B67/B66)*(B65/B64)*(B63/B62)*(B61/B60)*B59</f>
        <v>5000</v>
      </c>
      <c r="C68" s="274" t="s">
        <v>102</v>
      </c>
      <c r="D68" s="277">
        <v>1076.24</v>
      </c>
      <c r="E68" s="89">
        <v>1</v>
      </c>
      <c r="F68" s="90">
        <v>38361268</v>
      </c>
      <c r="G68" s="155">
        <f>IF(ISBLANK(F68),"-",(F68/$D$50*$D$47*$B$68)*($B$57/$D$68))</f>
        <v>799.24799650391503</v>
      </c>
      <c r="H68" s="174">
        <f t="shared" si="0"/>
        <v>99.905999562989379</v>
      </c>
    </row>
    <row r="69" spans="1:8" ht="27" customHeight="1" x14ac:dyDescent="0.4">
      <c r="A69" s="79" t="s">
        <v>103</v>
      </c>
      <c r="B69" s="96">
        <f>(D47*B68)/B56*B57</f>
        <v>1073.8945000000001</v>
      </c>
      <c r="C69" s="275"/>
      <c r="D69" s="278"/>
      <c r="E69" s="91">
        <v>2</v>
      </c>
      <c r="F69" s="44">
        <v>37984175</v>
      </c>
      <c r="G69" s="156">
        <f>IF(ISBLANK(F69),"-",(F69/$D$50*$D$47*$B$68)*($B$57/$D$68))</f>
        <v>791.39135253829727</v>
      </c>
      <c r="H69" s="174">
        <f t="shared" si="0"/>
        <v>98.923919067287159</v>
      </c>
    </row>
    <row r="70" spans="1:8" ht="26.25" customHeight="1" x14ac:dyDescent="0.4">
      <c r="A70" s="287" t="s">
        <v>76</v>
      </c>
      <c r="B70" s="288"/>
      <c r="C70" s="275"/>
      <c r="D70" s="278"/>
      <c r="E70" s="91">
        <v>3</v>
      </c>
      <c r="F70" s="44">
        <v>37913483</v>
      </c>
      <c r="G70" s="156">
        <f>IF(ISBLANK(F70),"-",(F70/$D$50*$D$47*$B$68)*($B$57/$D$68))</f>
        <v>789.91850134451374</v>
      </c>
      <c r="H70" s="174">
        <f t="shared" si="0"/>
        <v>98.739812668064218</v>
      </c>
    </row>
    <row r="71" spans="1:8" ht="27" customHeight="1" x14ac:dyDescent="0.4">
      <c r="A71" s="289"/>
      <c r="B71" s="290"/>
      <c r="C71" s="286"/>
      <c r="D71" s="279"/>
      <c r="E71" s="93">
        <v>4</v>
      </c>
      <c r="F71" s="94"/>
      <c r="G71" s="172" t="str">
        <f>IF(ISBLANK(F71),"-",(F71/$D$50*$D$47*$B$68)*($B$57/$D$68))</f>
        <v>-</v>
      </c>
      <c r="H71" s="175" t="str">
        <f t="shared" si="0"/>
        <v>-</v>
      </c>
    </row>
    <row r="72" spans="1:8" ht="26.25" customHeight="1" x14ac:dyDescent="0.4">
      <c r="A72" s="97"/>
      <c r="B72" s="97"/>
      <c r="C72" s="97"/>
      <c r="D72" s="97"/>
      <c r="E72" s="97"/>
      <c r="F72" s="99" t="s">
        <v>69</v>
      </c>
      <c r="G72" s="161">
        <f>AVERAGE(G60:G71)</f>
        <v>777.62189872504484</v>
      </c>
      <c r="H72" s="176">
        <f>AVERAGE(H60:H71)</f>
        <v>97.202737340630605</v>
      </c>
    </row>
    <row r="73" spans="1:8" ht="26.25" customHeight="1" x14ac:dyDescent="0.4">
      <c r="C73" s="97"/>
      <c r="D73" s="97"/>
      <c r="E73" s="97"/>
      <c r="F73" s="100" t="s">
        <v>82</v>
      </c>
      <c r="G73" s="160">
        <f>STDEV(G60:G71)/G72</f>
        <v>1.5858967536741812E-2</v>
      </c>
      <c r="H73" s="160">
        <f>STDEV(H60:H71)/H72</f>
        <v>1.5858967536741812E-2</v>
      </c>
    </row>
    <row r="74" spans="1:8" ht="27" customHeight="1" x14ac:dyDescent="0.4">
      <c r="A74" s="97"/>
      <c r="B74" s="97"/>
      <c r="C74" s="98"/>
      <c r="D74" s="98"/>
      <c r="E74" s="101"/>
      <c r="F74" s="102" t="s">
        <v>19</v>
      </c>
      <c r="G74" s="103">
        <f>COUNT(G60:G71)</f>
        <v>9</v>
      </c>
      <c r="H74" s="103">
        <f>COUNT(H60:H71)</f>
        <v>9</v>
      </c>
    </row>
    <row r="76" spans="1:8" ht="26.25" customHeight="1" x14ac:dyDescent="0.4">
      <c r="A76" s="15" t="s">
        <v>104</v>
      </c>
      <c r="B76" s="104" t="s">
        <v>105</v>
      </c>
      <c r="C76" s="282" t="str">
        <f>B26</f>
        <v>sulfamethoxazole</v>
      </c>
      <c r="D76" s="282"/>
      <c r="E76" s="105" t="s">
        <v>106</v>
      </c>
      <c r="F76" s="105"/>
      <c r="G76" s="106">
        <f>H72</f>
        <v>97.202737340630605</v>
      </c>
      <c r="H76" s="107"/>
    </row>
    <row r="77" spans="1:8" ht="18.75" x14ac:dyDescent="0.3">
      <c r="A77" s="14" t="s">
        <v>107</v>
      </c>
      <c r="B77" s="14" t="s">
        <v>108</v>
      </c>
    </row>
    <row r="78" spans="1:8" ht="18.75" x14ac:dyDescent="0.3">
      <c r="A78" s="14"/>
      <c r="B78" s="14"/>
    </row>
    <row r="79" spans="1:8" ht="26.25" customHeight="1" x14ac:dyDescent="0.4">
      <c r="A79" s="15" t="s">
        <v>4</v>
      </c>
      <c r="B79" s="268" t="str">
        <f>B26</f>
        <v>sulfamethoxazole</v>
      </c>
      <c r="C79" s="268"/>
    </row>
    <row r="80" spans="1:8" ht="26.25" customHeight="1" x14ac:dyDescent="0.4">
      <c r="A80" s="16" t="s">
        <v>46</v>
      </c>
      <c r="B80" s="268" t="s">
        <v>134</v>
      </c>
      <c r="C80" s="268"/>
    </row>
    <row r="81" spans="1:12" ht="27" customHeight="1" x14ac:dyDescent="0.4">
      <c r="A81" s="16" t="s">
        <v>6</v>
      </c>
      <c r="B81" s="108">
        <f>B28</f>
        <v>99.02</v>
      </c>
    </row>
    <row r="82" spans="1:12" s="2" customFormat="1" ht="27" customHeight="1" x14ac:dyDescent="0.4">
      <c r="A82" s="16" t="s">
        <v>47</v>
      </c>
      <c r="B82" s="18">
        <v>0</v>
      </c>
      <c r="C82" s="259" t="s">
        <v>48</v>
      </c>
      <c r="D82" s="260"/>
      <c r="E82" s="260"/>
      <c r="F82" s="260"/>
      <c r="G82" s="261"/>
      <c r="I82" s="19"/>
      <c r="J82" s="19"/>
      <c r="K82" s="19"/>
      <c r="L82" s="19"/>
    </row>
    <row r="83" spans="1:12" s="2" customFormat="1" ht="19.5" customHeight="1" x14ac:dyDescent="0.3">
      <c r="A83" s="16" t="s">
        <v>49</v>
      </c>
      <c r="B83" s="20">
        <f>B81-B82</f>
        <v>99.02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2" customFormat="1" ht="27" customHeight="1" x14ac:dyDescent="0.4">
      <c r="A84" s="16" t="s">
        <v>50</v>
      </c>
      <c r="B84" s="23">
        <v>1</v>
      </c>
      <c r="C84" s="262" t="s">
        <v>109</v>
      </c>
      <c r="D84" s="263"/>
      <c r="E84" s="263"/>
      <c r="F84" s="263"/>
      <c r="G84" s="263"/>
      <c r="H84" s="264"/>
      <c r="I84" s="19"/>
      <c r="J84" s="19"/>
      <c r="K84" s="19"/>
      <c r="L84" s="19"/>
    </row>
    <row r="85" spans="1:12" s="2" customFormat="1" ht="27" customHeight="1" x14ac:dyDescent="0.4">
      <c r="A85" s="16" t="s">
        <v>52</v>
      </c>
      <c r="B85" s="23">
        <v>1</v>
      </c>
      <c r="C85" s="262" t="s">
        <v>110</v>
      </c>
      <c r="D85" s="263"/>
      <c r="E85" s="263"/>
      <c r="F85" s="263"/>
      <c r="G85" s="263"/>
      <c r="H85" s="264"/>
      <c r="I85" s="19"/>
      <c r="J85" s="19"/>
      <c r="K85" s="19"/>
      <c r="L85" s="19"/>
    </row>
    <row r="86" spans="1:12" s="2" customFormat="1" ht="18.75" x14ac:dyDescent="0.3">
      <c r="A86" s="16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2" customFormat="1" ht="18.75" x14ac:dyDescent="0.3">
      <c r="A87" s="16" t="s">
        <v>54</v>
      </c>
      <c r="B87" s="28">
        <f>B84/B85</f>
        <v>1</v>
      </c>
      <c r="C87" s="6" t="s">
        <v>55</v>
      </c>
      <c r="D87" s="6"/>
      <c r="E87" s="6"/>
      <c r="F87" s="6"/>
      <c r="G87" s="6"/>
      <c r="I87" s="19"/>
      <c r="J87" s="19"/>
      <c r="K87" s="19"/>
      <c r="L87" s="19"/>
    </row>
    <row r="88" spans="1:12" ht="19.5" customHeight="1" x14ac:dyDescent="0.3">
      <c r="A88" s="14"/>
      <c r="B88" s="14"/>
    </row>
    <row r="89" spans="1:12" ht="27" customHeight="1" x14ac:dyDescent="0.4">
      <c r="A89" s="29" t="s">
        <v>56</v>
      </c>
      <c r="B89" s="30">
        <v>100</v>
      </c>
      <c r="D89" s="109" t="s">
        <v>57</v>
      </c>
      <c r="E89" s="110"/>
      <c r="F89" s="265" t="s">
        <v>58</v>
      </c>
      <c r="G89" s="267"/>
    </row>
    <row r="90" spans="1:12" ht="27" customHeight="1" x14ac:dyDescent="0.4">
      <c r="A90" s="31" t="s">
        <v>59</v>
      </c>
      <c r="B90" s="32">
        <v>1</v>
      </c>
      <c r="C90" s="111" t="s">
        <v>60</v>
      </c>
      <c r="D90" s="34" t="s">
        <v>61</v>
      </c>
      <c r="E90" s="35" t="s">
        <v>62</v>
      </c>
      <c r="F90" s="34" t="s">
        <v>61</v>
      </c>
      <c r="G90" s="112" t="s">
        <v>62</v>
      </c>
      <c r="I90" s="37" t="s">
        <v>63</v>
      </c>
    </row>
    <row r="91" spans="1:12" ht="26.25" customHeight="1" x14ac:dyDescent="0.4">
      <c r="A91" s="31" t="s">
        <v>64</v>
      </c>
      <c r="B91" s="32">
        <v>1</v>
      </c>
      <c r="C91" s="113">
        <v>1</v>
      </c>
      <c r="D91" s="39">
        <v>39885895</v>
      </c>
      <c r="E91" s="40">
        <f>IF(ISBLANK(D91),"-",$D$101/$D$98*D91)</f>
        <v>43400021.898103096</v>
      </c>
      <c r="F91" s="39">
        <v>37673589</v>
      </c>
      <c r="G91" s="41">
        <f>IF(ISBLANK(F91),"-",$D$101/$F$98*F91)</f>
        <v>42944839.960715547</v>
      </c>
      <c r="I91" s="42"/>
    </row>
    <row r="92" spans="1:12" ht="26.25" customHeight="1" x14ac:dyDescent="0.4">
      <c r="A92" s="31" t="s">
        <v>65</v>
      </c>
      <c r="B92" s="32">
        <v>1</v>
      </c>
      <c r="C92" s="98">
        <v>2</v>
      </c>
      <c r="D92" s="44">
        <v>39839866</v>
      </c>
      <c r="E92" s="45">
        <f>IF(ISBLANK(D92),"-",$D$101/$D$98*D92)</f>
        <v>43349937.53600096</v>
      </c>
      <c r="F92" s="44">
        <v>37671623</v>
      </c>
      <c r="G92" s="46">
        <f>IF(ISBLANK(F92),"-",$D$101/$F$98*F92)</f>
        <v>42942598.879958339</v>
      </c>
      <c r="I92" s="269">
        <f>ABS((F96/D96*D95)-F95)/D95</f>
        <v>9.2915207164762023E-3</v>
      </c>
    </row>
    <row r="93" spans="1:12" ht="26.25" customHeight="1" x14ac:dyDescent="0.4">
      <c r="A93" s="31" t="s">
        <v>66</v>
      </c>
      <c r="B93" s="32">
        <v>1</v>
      </c>
      <c r="C93" s="98">
        <v>3</v>
      </c>
      <c r="D93" s="44">
        <v>39957505</v>
      </c>
      <c r="E93" s="45">
        <f>IF(ISBLANK(D93),"-",$D$101/$D$98*D93)</f>
        <v>43477941.061459549</v>
      </c>
      <c r="F93" s="44">
        <v>37785866</v>
      </c>
      <c r="G93" s="46">
        <f>IF(ISBLANK(F93),"-",$D$101/$F$98*F93)</f>
        <v>43072826.646461606</v>
      </c>
      <c r="I93" s="269"/>
    </row>
    <row r="94" spans="1:12" ht="27" customHeight="1" x14ac:dyDescent="0.4">
      <c r="A94" s="31" t="s">
        <v>67</v>
      </c>
      <c r="B94" s="32">
        <v>1</v>
      </c>
      <c r="C94" s="114">
        <v>4</v>
      </c>
      <c r="D94" s="49"/>
      <c r="E94" s="50" t="str">
        <f>IF(ISBLANK(D94),"-",$D$101/$D$98*D94)</f>
        <v>-</v>
      </c>
      <c r="F94" s="115"/>
      <c r="G94" s="51" t="str">
        <f>IF(ISBLANK(F94),"-",$D$101/$F$98*F94)</f>
        <v>-</v>
      </c>
      <c r="I94" s="52"/>
    </row>
    <row r="95" spans="1:12" ht="27" customHeight="1" x14ac:dyDescent="0.4">
      <c r="A95" s="31" t="s">
        <v>68</v>
      </c>
      <c r="B95" s="32">
        <v>1</v>
      </c>
      <c r="C95" s="116" t="s">
        <v>69</v>
      </c>
      <c r="D95" s="117">
        <f>AVERAGE(D91:D94)</f>
        <v>39894422</v>
      </c>
      <c r="E95" s="55">
        <f>AVERAGE(E91:E94)</f>
        <v>43409300.165187865</v>
      </c>
      <c r="F95" s="118">
        <f>AVERAGE(F91:F94)</f>
        <v>37710359.333333336</v>
      </c>
      <c r="G95" s="119">
        <f>AVERAGE(G91:G94)</f>
        <v>42986755.162378497</v>
      </c>
    </row>
    <row r="96" spans="1:12" ht="26.25" customHeight="1" x14ac:dyDescent="0.4">
      <c r="A96" s="31" t="s">
        <v>70</v>
      </c>
      <c r="B96" s="17">
        <v>1</v>
      </c>
      <c r="C96" s="120" t="s">
        <v>111</v>
      </c>
      <c r="D96" s="121">
        <v>16.5</v>
      </c>
      <c r="E96" s="47"/>
      <c r="F96" s="59">
        <v>15.75</v>
      </c>
    </row>
    <row r="97" spans="1:10" ht="26.25" customHeight="1" x14ac:dyDescent="0.4">
      <c r="A97" s="31" t="s">
        <v>72</v>
      </c>
      <c r="B97" s="17">
        <v>1</v>
      </c>
      <c r="C97" s="122" t="s">
        <v>112</v>
      </c>
      <c r="D97" s="123">
        <f>D96*$B$87</f>
        <v>16.5</v>
      </c>
      <c r="E97" s="62"/>
      <c r="F97" s="61">
        <f>F96*$B$87</f>
        <v>15.75</v>
      </c>
    </row>
    <row r="98" spans="1:10" ht="19.5" customHeight="1" x14ac:dyDescent="0.3">
      <c r="A98" s="31" t="s">
        <v>74</v>
      </c>
      <c r="B98" s="124">
        <f>(B97/B96)*(B95/B94)*(B93/B92)*(B91/B90)*B89</f>
        <v>100</v>
      </c>
      <c r="C98" s="122" t="s">
        <v>113</v>
      </c>
      <c r="D98" s="125">
        <f>D97*$B$83/100</f>
        <v>16.3383</v>
      </c>
      <c r="E98" s="65"/>
      <c r="F98" s="64">
        <f>F97*$B$83/100</f>
        <v>15.595649999999999</v>
      </c>
    </row>
    <row r="99" spans="1:10" ht="19.5" customHeight="1" x14ac:dyDescent="0.3">
      <c r="A99" s="270" t="s">
        <v>76</v>
      </c>
      <c r="B99" s="284"/>
      <c r="C99" s="122" t="s">
        <v>114</v>
      </c>
      <c r="D99" s="126">
        <f>D98/$B$98</f>
        <v>0.163383</v>
      </c>
      <c r="E99" s="65"/>
      <c r="F99" s="68">
        <f>F98/$B$98</f>
        <v>0.1559565</v>
      </c>
      <c r="G99" s="127"/>
      <c r="H99" s="57"/>
    </row>
    <row r="100" spans="1:10" ht="19.5" customHeight="1" x14ac:dyDescent="0.3">
      <c r="A100" s="272"/>
      <c r="B100" s="285"/>
      <c r="C100" s="122" t="s">
        <v>78</v>
      </c>
      <c r="D100" s="128">
        <f>$B$56/$B$116</f>
        <v>0.17777777777777778</v>
      </c>
      <c r="F100" s="73"/>
      <c r="G100" s="129"/>
      <c r="H100" s="57"/>
    </row>
    <row r="101" spans="1:10" ht="18.75" x14ac:dyDescent="0.3">
      <c r="C101" s="122" t="s">
        <v>79</v>
      </c>
      <c r="D101" s="123">
        <f>D100*$B$98</f>
        <v>17.777777777777779</v>
      </c>
      <c r="F101" s="73"/>
      <c r="G101" s="127"/>
      <c r="H101" s="57"/>
    </row>
    <row r="102" spans="1:10" ht="19.5" customHeight="1" x14ac:dyDescent="0.3">
      <c r="C102" s="130" t="s">
        <v>80</v>
      </c>
      <c r="D102" s="131">
        <f>D101/B34</f>
        <v>17.777777777777779</v>
      </c>
      <c r="F102" s="77"/>
      <c r="G102" s="127"/>
      <c r="H102" s="57"/>
      <c r="J102" s="132"/>
    </row>
    <row r="103" spans="1:10" ht="18.75" x14ac:dyDescent="0.3">
      <c r="C103" s="133" t="s">
        <v>115</v>
      </c>
      <c r="D103" s="134">
        <f>AVERAGE(E91:E94,G91:G94)</f>
        <v>43198027.663783185</v>
      </c>
      <c r="F103" s="77"/>
      <c r="G103" s="135"/>
      <c r="H103" s="57"/>
      <c r="J103" s="136"/>
    </row>
    <row r="104" spans="1:10" ht="18.75" x14ac:dyDescent="0.3">
      <c r="C104" s="100" t="s">
        <v>82</v>
      </c>
      <c r="D104" s="137">
        <f>STDEV(E91:E94,G91:G94)/D103</f>
        <v>5.5485989711433854E-3</v>
      </c>
      <c r="F104" s="77"/>
      <c r="G104" s="127"/>
      <c r="H104" s="57"/>
      <c r="J104" s="136"/>
    </row>
    <row r="105" spans="1:10" ht="19.5" customHeight="1" x14ac:dyDescent="0.3">
      <c r="C105" s="102" t="s">
        <v>19</v>
      </c>
      <c r="D105" s="138">
        <f>COUNT(E91:E94,G91:G94)</f>
        <v>6</v>
      </c>
      <c r="F105" s="77"/>
      <c r="G105" s="127"/>
      <c r="H105" s="57"/>
      <c r="J105" s="136"/>
    </row>
    <row r="106" spans="1:10" ht="19.5" customHeight="1" x14ac:dyDescent="0.3">
      <c r="A106" s="81"/>
      <c r="B106" s="81"/>
      <c r="C106" s="81"/>
      <c r="D106" s="81"/>
      <c r="E106" s="81"/>
    </row>
    <row r="107" spans="1:10" ht="27" customHeight="1" x14ac:dyDescent="0.4">
      <c r="A107" s="29" t="s">
        <v>116</v>
      </c>
      <c r="B107" s="30">
        <v>900</v>
      </c>
      <c r="C107" s="177" t="s">
        <v>117</v>
      </c>
      <c r="D107" s="177" t="s">
        <v>61</v>
      </c>
      <c r="E107" s="177" t="s">
        <v>118</v>
      </c>
      <c r="F107" s="139" t="s">
        <v>119</v>
      </c>
    </row>
    <row r="108" spans="1:10" ht="26.25" customHeight="1" x14ac:dyDescent="0.4">
      <c r="A108" s="31" t="s">
        <v>120</v>
      </c>
      <c r="B108" s="32">
        <v>10</v>
      </c>
      <c r="C108" s="182">
        <v>1</v>
      </c>
      <c r="D108" s="183">
        <v>37838289</v>
      </c>
      <c r="E108" s="157">
        <f t="shared" ref="E108:E113" si="1">IF(ISBLANK(D108),"-",D108/$D$103*$D$100*$B$116)</f>
        <v>700.74104854047789</v>
      </c>
      <c r="F108" s="184">
        <f t="shared" ref="F108:F113" si="2">IF(ISBLANK(D108), "-", (E108/$B$56)*100)</f>
        <v>87.592631067559736</v>
      </c>
    </row>
    <row r="109" spans="1:10" ht="26.25" customHeight="1" x14ac:dyDescent="0.4">
      <c r="A109" s="31" t="s">
        <v>93</v>
      </c>
      <c r="B109" s="32">
        <v>50</v>
      </c>
      <c r="C109" s="178">
        <v>2</v>
      </c>
      <c r="D109" s="180">
        <v>37697927</v>
      </c>
      <c r="E109" s="158">
        <f t="shared" si="1"/>
        <v>698.14163356547101</v>
      </c>
      <c r="F109" s="185">
        <f t="shared" si="2"/>
        <v>87.267704195683876</v>
      </c>
    </row>
    <row r="110" spans="1:10" ht="26.25" customHeight="1" x14ac:dyDescent="0.4">
      <c r="A110" s="31" t="s">
        <v>94</v>
      </c>
      <c r="B110" s="32">
        <v>1</v>
      </c>
      <c r="C110" s="178">
        <v>3</v>
      </c>
      <c r="D110" s="180">
        <v>37843137</v>
      </c>
      <c r="E110" s="158">
        <f t="shared" si="1"/>
        <v>700.83083041733084</v>
      </c>
      <c r="F110" s="185">
        <f t="shared" si="2"/>
        <v>87.603853802166356</v>
      </c>
    </row>
    <row r="111" spans="1:10" ht="26.25" customHeight="1" x14ac:dyDescent="0.4">
      <c r="A111" s="31" t="s">
        <v>95</v>
      </c>
      <c r="B111" s="32">
        <v>1</v>
      </c>
      <c r="C111" s="178">
        <v>4</v>
      </c>
      <c r="D111" s="180">
        <v>37792279</v>
      </c>
      <c r="E111" s="158">
        <f t="shared" si="1"/>
        <v>699.8889726011206</v>
      </c>
      <c r="F111" s="185">
        <f t="shared" si="2"/>
        <v>87.486121575140075</v>
      </c>
    </row>
    <row r="112" spans="1:10" ht="26.25" customHeight="1" x14ac:dyDescent="0.4">
      <c r="A112" s="31" t="s">
        <v>96</v>
      </c>
      <c r="B112" s="32">
        <v>1</v>
      </c>
      <c r="C112" s="178">
        <v>5</v>
      </c>
      <c r="D112" s="180">
        <v>37817147</v>
      </c>
      <c r="E112" s="158">
        <f t="shared" si="1"/>
        <v>700.34951214600085</v>
      </c>
      <c r="F112" s="185">
        <f t="shared" si="2"/>
        <v>87.543689018250106</v>
      </c>
    </row>
    <row r="113" spans="1:10" ht="27" customHeight="1" x14ac:dyDescent="0.4">
      <c r="A113" s="31" t="s">
        <v>98</v>
      </c>
      <c r="B113" s="32">
        <v>1</v>
      </c>
      <c r="C113" s="179">
        <v>6</v>
      </c>
      <c r="D113" s="181">
        <v>37728820</v>
      </c>
      <c r="E113" s="159">
        <f t="shared" si="1"/>
        <v>698.71375227867611</v>
      </c>
      <c r="F113" s="186">
        <f t="shared" si="2"/>
        <v>87.339219034834514</v>
      </c>
    </row>
    <row r="114" spans="1:10" ht="27" customHeight="1" x14ac:dyDescent="0.4">
      <c r="A114" s="31" t="s">
        <v>99</v>
      </c>
      <c r="B114" s="32">
        <v>1</v>
      </c>
      <c r="C114" s="140"/>
      <c r="D114" s="98"/>
      <c r="E114" s="5"/>
      <c r="F114" s="187"/>
    </row>
    <row r="115" spans="1:10" ht="26.25" customHeight="1" x14ac:dyDescent="0.4">
      <c r="A115" s="31" t="s">
        <v>100</v>
      </c>
      <c r="B115" s="32">
        <v>1</v>
      </c>
      <c r="C115" s="140"/>
      <c r="D115" s="164" t="s">
        <v>69</v>
      </c>
      <c r="E115" s="166">
        <f>AVERAGE(E108:E113)</f>
        <v>699.77762492484635</v>
      </c>
      <c r="F115" s="188">
        <f>AVERAGE(F108:F113)</f>
        <v>87.472203115605794</v>
      </c>
    </row>
    <row r="116" spans="1:10" ht="27" customHeight="1" x14ac:dyDescent="0.4">
      <c r="A116" s="31" t="s">
        <v>101</v>
      </c>
      <c r="B116" s="63">
        <f>(B115/B114)*(B113/B112)*(B111/B110)*(B109/B108)*B107</f>
        <v>4500</v>
      </c>
      <c r="C116" s="141"/>
      <c r="D116" s="165" t="s">
        <v>82</v>
      </c>
      <c r="E116" s="163">
        <f>STDEV(E108:E113)/E115</f>
        <v>1.589391434690229E-3</v>
      </c>
      <c r="F116" s="142">
        <f>STDEV(F108:F113)/F115</f>
        <v>1.589391434690229E-3</v>
      </c>
      <c r="I116" s="5"/>
    </row>
    <row r="117" spans="1:10" ht="27" customHeight="1" x14ac:dyDescent="0.4">
      <c r="A117" s="270" t="s">
        <v>76</v>
      </c>
      <c r="B117" s="271"/>
      <c r="C117" s="143"/>
      <c r="D117" s="102" t="s">
        <v>19</v>
      </c>
      <c r="E117" s="168">
        <f>COUNT(E108:E113)</f>
        <v>6</v>
      </c>
      <c r="F117" s="169">
        <f>COUNT(F108:F113)</f>
        <v>6</v>
      </c>
      <c r="I117" s="5"/>
      <c r="J117" s="136"/>
    </row>
    <row r="118" spans="1:10" ht="26.25" customHeight="1" x14ac:dyDescent="0.3">
      <c r="A118" s="272"/>
      <c r="B118" s="273"/>
      <c r="C118" s="5"/>
      <c r="D118" s="167"/>
      <c r="E118" s="250" t="s">
        <v>121</v>
      </c>
      <c r="F118" s="251"/>
      <c r="G118" s="5"/>
      <c r="H118" s="5"/>
      <c r="I118" s="5"/>
    </row>
    <row r="119" spans="1:10" ht="25.5" customHeight="1" x14ac:dyDescent="0.4">
      <c r="A119" s="152"/>
      <c r="B119" s="27"/>
      <c r="C119" s="5"/>
      <c r="D119" s="165" t="s">
        <v>122</v>
      </c>
      <c r="E119" s="170">
        <f>MIN(E108:E113)</f>
        <v>698.14163356547101</v>
      </c>
      <c r="F119" s="189">
        <f>MIN(F108:F113)</f>
        <v>87.267704195683876</v>
      </c>
      <c r="G119" s="5"/>
      <c r="H119" s="5"/>
      <c r="I119" s="5"/>
    </row>
    <row r="120" spans="1:10" ht="24" customHeight="1" x14ac:dyDescent="0.4">
      <c r="A120" s="152"/>
      <c r="B120" s="27"/>
      <c r="C120" s="5"/>
      <c r="D120" s="74" t="s">
        <v>123</v>
      </c>
      <c r="E120" s="171">
        <f>MAX(E108:E113)</f>
        <v>700.83083041733084</v>
      </c>
      <c r="F120" s="190">
        <f>MAX(F108:F113)</f>
        <v>87.603853802166356</v>
      </c>
      <c r="G120" s="5"/>
      <c r="H120" s="5"/>
      <c r="I120" s="5"/>
    </row>
    <row r="121" spans="1:10" ht="27" customHeight="1" x14ac:dyDescent="0.3">
      <c r="A121" s="152"/>
      <c r="B121" s="27"/>
      <c r="C121" s="5"/>
      <c r="D121" s="5"/>
      <c r="E121" s="5"/>
      <c r="F121" s="98"/>
      <c r="G121" s="5"/>
      <c r="H121" s="5"/>
      <c r="I121" s="5"/>
    </row>
    <row r="122" spans="1:10" ht="25.5" customHeight="1" x14ac:dyDescent="0.3">
      <c r="A122" s="152"/>
      <c r="B122" s="27"/>
      <c r="C122" s="5"/>
      <c r="D122" s="5"/>
      <c r="E122" s="5"/>
      <c r="F122" s="98"/>
      <c r="G122" s="5"/>
      <c r="H122" s="5"/>
      <c r="I122" s="5"/>
    </row>
    <row r="123" spans="1:10" ht="18.75" x14ac:dyDescent="0.3">
      <c r="A123" s="152"/>
      <c r="B123" s="27"/>
      <c r="C123" s="5"/>
      <c r="D123" s="5"/>
      <c r="E123" s="5"/>
      <c r="F123" s="98"/>
      <c r="G123" s="5"/>
      <c r="H123" s="5"/>
      <c r="I123" s="5"/>
    </row>
    <row r="124" spans="1:10" ht="45.75" customHeight="1" x14ac:dyDescent="0.65">
      <c r="A124" s="15" t="s">
        <v>104</v>
      </c>
      <c r="B124" s="104" t="s">
        <v>124</v>
      </c>
      <c r="C124" s="282" t="str">
        <f>B26</f>
        <v>sulfamethoxazole</v>
      </c>
      <c r="D124" s="282"/>
      <c r="E124" s="105" t="s">
        <v>125</v>
      </c>
      <c r="F124" s="105"/>
      <c r="G124" s="191">
        <f>F115</f>
        <v>87.472203115605794</v>
      </c>
      <c r="H124" s="5"/>
      <c r="I124" s="5"/>
    </row>
    <row r="125" spans="1:10" ht="45.75" customHeight="1" x14ac:dyDescent="0.65">
      <c r="A125" s="15"/>
      <c r="B125" s="104" t="s">
        <v>126</v>
      </c>
      <c r="C125" s="16" t="s">
        <v>127</v>
      </c>
      <c r="D125" s="191">
        <f>MIN(F108:F113)</f>
        <v>87.267704195683876</v>
      </c>
      <c r="E125" s="116" t="s">
        <v>128</v>
      </c>
      <c r="F125" s="191">
        <f>MAX(F108:F113)</f>
        <v>87.603853802166356</v>
      </c>
      <c r="G125" s="106"/>
      <c r="H125" s="5"/>
      <c r="I125" s="5"/>
    </row>
    <row r="126" spans="1:10" ht="19.5" customHeight="1" x14ac:dyDescent="0.3">
      <c r="A126" s="144"/>
      <c r="B126" s="144"/>
      <c r="C126" s="145"/>
      <c r="D126" s="145"/>
      <c r="E126" s="145"/>
      <c r="F126" s="145"/>
      <c r="G126" s="145"/>
      <c r="H126" s="145"/>
    </row>
    <row r="127" spans="1:10" ht="18.75" x14ac:dyDescent="0.3">
      <c r="B127" s="283" t="s">
        <v>24</v>
      </c>
      <c r="C127" s="283"/>
      <c r="E127" s="111" t="s">
        <v>25</v>
      </c>
      <c r="F127" s="146"/>
      <c r="G127" s="283" t="s">
        <v>26</v>
      </c>
      <c r="H127" s="283"/>
    </row>
    <row r="128" spans="1:10" ht="69.95" customHeight="1" x14ac:dyDescent="0.3">
      <c r="A128" s="147" t="s">
        <v>27</v>
      </c>
      <c r="B128" s="148"/>
      <c r="C128" s="148"/>
      <c r="E128" s="148"/>
      <c r="F128" s="5"/>
      <c r="G128" s="149"/>
      <c r="H128" s="149"/>
    </row>
    <row r="129" spans="1:9" ht="69.95" customHeight="1" x14ac:dyDescent="0.3">
      <c r="A129" s="147" t="s">
        <v>28</v>
      </c>
      <c r="B129" s="150"/>
      <c r="C129" s="150"/>
      <c r="E129" s="150"/>
      <c r="F129" s="5"/>
      <c r="G129" s="151"/>
      <c r="H129" s="151"/>
    </row>
    <row r="130" spans="1:9" ht="18.75" x14ac:dyDescent="0.3">
      <c r="A130" s="97"/>
      <c r="B130" s="97"/>
      <c r="C130" s="98"/>
      <c r="D130" s="98"/>
      <c r="E130" s="98"/>
      <c r="F130" s="101"/>
      <c r="G130" s="98"/>
      <c r="H130" s="98"/>
      <c r="I130" s="5"/>
    </row>
    <row r="131" spans="1:9" ht="18.75" x14ac:dyDescent="0.3">
      <c r="A131" s="97"/>
      <c r="B131" s="97"/>
      <c r="C131" s="98"/>
      <c r="D131" s="98"/>
      <c r="E131" s="98"/>
      <c r="F131" s="101"/>
      <c r="G131" s="98"/>
      <c r="H131" s="98"/>
      <c r="I131" s="5"/>
    </row>
    <row r="132" spans="1:9" ht="18.75" x14ac:dyDescent="0.3">
      <c r="A132" s="97"/>
      <c r="B132" s="97"/>
      <c r="C132" s="98"/>
      <c r="D132" s="98"/>
      <c r="E132" s="98"/>
      <c r="F132" s="101"/>
      <c r="G132" s="98"/>
      <c r="H132" s="98"/>
      <c r="I132" s="5"/>
    </row>
    <row r="133" spans="1:9" ht="18.75" x14ac:dyDescent="0.3">
      <c r="A133" s="97"/>
      <c r="B133" s="97"/>
      <c r="C133" s="98"/>
      <c r="D133" s="98"/>
      <c r="E133" s="98"/>
      <c r="F133" s="101"/>
      <c r="G133" s="98"/>
      <c r="H133" s="98"/>
      <c r="I133" s="5"/>
    </row>
    <row r="134" spans="1:9" ht="18.75" x14ac:dyDescent="0.3">
      <c r="A134" s="97"/>
      <c r="B134" s="97"/>
      <c r="C134" s="98"/>
      <c r="D134" s="98"/>
      <c r="E134" s="98"/>
      <c r="F134" s="101"/>
      <c r="G134" s="98"/>
      <c r="H134" s="98"/>
      <c r="I134" s="5"/>
    </row>
    <row r="135" spans="1:9" ht="18.75" x14ac:dyDescent="0.3">
      <c r="A135" s="97"/>
      <c r="B135" s="97"/>
      <c r="C135" s="98"/>
      <c r="D135" s="98"/>
      <c r="E135" s="98"/>
      <c r="F135" s="101"/>
      <c r="G135" s="98"/>
      <c r="H135" s="98"/>
      <c r="I135" s="5"/>
    </row>
    <row r="136" spans="1:9" ht="18.75" x14ac:dyDescent="0.3">
      <c r="A136" s="97"/>
      <c r="B136" s="97"/>
      <c r="C136" s="98"/>
      <c r="D136" s="98"/>
      <c r="E136" s="98"/>
      <c r="F136" s="101"/>
      <c r="G136" s="98"/>
      <c r="H136" s="98"/>
      <c r="I136" s="5"/>
    </row>
    <row r="137" spans="1:9" ht="18.75" x14ac:dyDescent="0.3">
      <c r="A137" s="97"/>
      <c r="B137" s="97"/>
      <c r="C137" s="98"/>
      <c r="D137" s="98"/>
      <c r="E137" s="98"/>
      <c r="F137" s="101"/>
      <c r="G137" s="98"/>
      <c r="H137" s="98"/>
      <c r="I137" s="5"/>
    </row>
    <row r="138" spans="1:9" ht="18.75" x14ac:dyDescent="0.3">
      <c r="A138" s="97"/>
      <c r="B138" s="97"/>
      <c r="C138" s="98"/>
      <c r="D138" s="98"/>
      <c r="E138" s="98"/>
      <c r="F138" s="101"/>
      <c r="G138" s="98"/>
      <c r="H138" s="98"/>
      <c r="I138" s="5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6" zoomScale="42" zoomScaleNormal="40" zoomScalePageLayoutView="42" workbookViewId="0">
      <selection activeCell="A136" sqref="A136"/>
    </sheetView>
  </sheetViews>
  <sheetFormatPr defaultColWidth="9.140625" defaultRowHeight="13.5" x14ac:dyDescent="0.25"/>
  <cols>
    <col min="1" max="1" width="55.42578125" style="127" customWidth="1"/>
    <col min="2" max="2" width="33.7109375" style="127" customWidth="1"/>
    <col min="3" max="3" width="42.28515625" style="127" customWidth="1"/>
    <col min="4" max="4" width="30.5703125" style="127" customWidth="1"/>
    <col min="5" max="5" width="39.85546875" style="127" customWidth="1"/>
    <col min="6" max="6" width="30.7109375" style="127" customWidth="1"/>
    <col min="7" max="7" width="39.85546875" style="127" customWidth="1"/>
    <col min="8" max="8" width="30" style="127" customWidth="1"/>
    <col min="9" max="9" width="30.28515625" style="127" hidden="1" customWidth="1"/>
    <col min="10" max="10" width="30.42578125" style="127" customWidth="1"/>
    <col min="11" max="11" width="21.28515625" style="127" customWidth="1"/>
    <col min="12" max="12" width="9.140625" style="127"/>
    <col min="13" max="16384" width="9.140625" style="4"/>
  </cols>
  <sheetData>
    <row r="1" spans="1:9" ht="18.75" customHeight="1" x14ac:dyDescent="0.25">
      <c r="A1" s="280" t="s">
        <v>43</v>
      </c>
      <c r="B1" s="280"/>
      <c r="C1" s="280"/>
      <c r="D1" s="280"/>
      <c r="E1" s="280"/>
      <c r="F1" s="280"/>
      <c r="G1" s="280"/>
      <c r="H1" s="280"/>
      <c r="I1" s="280"/>
    </row>
    <row r="2" spans="1:9" ht="18.75" customHeight="1" x14ac:dyDescent="0.25">
      <c r="A2" s="280"/>
      <c r="B2" s="280"/>
      <c r="C2" s="280"/>
      <c r="D2" s="280"/>
      <c r="E2" s="280"/>
      <c r="F2" s="280"/>
      <c r="G2" s="280"/>
      <c r="H2" s="280"/>
      <c r="I2" s="280"/>
    </row>
    <row r="3" spans="1:9" ht="18.75" customHeight="1" x14ac:dyDescent="0.25">
      <c r="A3" s="280"/>
      <c r="B3" s="280"/>
      <c r="C3" s="280"/>
      <c r="D3" s="280"/>
      <c r="E3" s="280"/>
      <c r="F3" s="280"/>
      <c r="G3" s="280"/>
      <c r="H3" s="280"/>
      <c r="I3" s="280"/>
    </row>
    <row r="4" spans="1:9" ht="18.75" customHeight="1" x14ac:dyDescent="0.25">
      <c r="A4" s="280"/>
      <c r="B4" s="280"/>
      <c r="C4" s="280"/>
      <c r="D4" s="280"/>
      <c r="E4" s="280"/>
      <c r="F4" s="280"/>
      <c r="G4" s="280"/>
      <c r="H4" s="280"/>
      <c r="I4" s="280"/>
    </row>
    <row r="5" spans="1:9" ht="18.75" customHeight="1" x14ac:dyDescent="0.25">
      <c r="A5" s="280"/>
      <c r="B5" s="280"/>
      <c r="C5" s="280"/>
      <c r="D5" s="280"/>
      <c r="E5" s="280"/>
      <c r="F5" s="280"/>
      <c r="G5" s="280"/>
      <c r="H5" s="280"/>
      <c r="I5" s="280"/>
    </row>
    <row r="6" spans="1:9" ht="18.75" customHeight="1" x14ac:dyDescent="0.25">
      <c r="A6" s="280"/>
      <c r="B6" s="280"/>
      <c r="C6" s="280"/>
      <c r="D6" s="280"/>
      <c r="E6" s="280"/>
      <c r="F6" s="280"/>
      <c r="G6" s="280"/>
      <c r="H6" s="280"/>
      <c r="I6" s="280"/>
    </row>
    <row r="7" spans="1:9" ht="18.75" customHeight="1" x14ac:dyDescent="0.25">
      <c r="A7" s="280"/>
      <c r="B7" s="280"/>
      <c r="C7" s="280"/>
      <c r="D7" s="280"/>
      <c r="E7" s="280"/>
      <c r="F7" s="280"/>
      <c r="G7" s="280"/>
      <c r="H7" s="280"/>
      <c r="I7" s="280"/>
    </row>
    <row r="8" spans="1:9" x14ac:dyDescent="0.25">
      <c r="A8" s="281" t="s">
        <v>44</v>
      </c>
      <c r="B8" s="281"/>
      <c r="C8" s="281"/>
      <c r="D8" s="281"/>
      <c r="E8" s="281"/>
      <c r="F8" s="281"/>
      <c r="G8" s="281"/>
      <c r="H8" s="281"/>
      <c r="I8" s="281"/>
    </row>
    <row r="9" spans="1:9" x14ac:dyDescent="0.25">
      <c r="A9" s="281"/>
      <c r="B9" s="281"/>
      <c r="C9" s="281"/>
      <c r="D9" s="281"/>
      <c r="E9" s="281"/>
      <c r="F9" s="281"/>
      <c r="G9" s="281"/>
      <c r="H9" s="281"/>
      <c r="I9" s="281"/>
    </row>
    <row r="10" spans="1:9" x14ac:dyDescent="0.25">
      <c r="A10" s="281"/>
      <c r="B10" s="281"/>
      <c r="C10" s="281"/>
      <c r="D10" s="281"/>
      <c r="E10" s="281"/>
      <c r="F10" s="281"/>
      <c r="G10" s="281"/>
      <c r="H10" s="281"/>
      <c r="I10" s="281"/>
    </row>
    <row r="11" spans="1:9" x14ac:dyDescent="0.25">
      <c r="A11" s="281"/>
      <c r="B11" s="281"/>
      <c r="C11" s="281"/>
      <c r="D11" s="281"/>
      <c r="E11" s="281"/>
      <c r="F11" s="281"/>
      <c r="G11" s="281"/>
      <c r="H11" s="281"/>
      <c r="I11" s="281"/>
    </row>
    <row r="12" spans="1:9" x14ac:dyDescent="0.25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 x14ac:dyDescent="0.25">
      <c r="A13" s="281"/>
      <c r="B13" s="281"/>
      <c r="C13" s="281"/>
      <c r="D13" s="281"/>
      <c r="E13" s="281"/>
      <c r="F13" s="281"/>
      <c r="G13" s="281"/>
      <c r="H13" s="281"/>
      <c r="I13" s="281"/>
    </row>
    <row r="14" spans="1:9" x14ac:dyDescent="0.25">
      <c r="A14" s="281"/>
      <c r="B14" s="281"/>
      <c r="C14" s="281"/>
      <c r="D14" s="281"/>
      <c r="E14" s="281"/>
      <c r="F14" s="281"/>
      <c r="G14" s="281"/>
      <c r="H14" s="281"/>
      <c r="I14" s="281"/>
    </row>
    <row r="15" spans="1:9" ht="19.5" customHeight="1" thickBot="1" x14ac:dyDescent="0.35">
      <c r="A15" s="105"/>
    </row>
    <row r="16" spans="1:9" ht="19.5" customHeight="1" thickBot="1" x14ac:dyDescent="0.35">
      <c r="A16" s="253" t="s">
        <v>29</v>
      </c>
      <c r="B16" s="254"/>
      <c r="C16" s="254"/>
      <c r="D16" s="254"/>
      <c r="E16" s="254"/>
      <c r="F16" s="254"/>
      <c r="G16" s="254"/>
      <c r="H16" s="255"/>
    </row>
    <row r="17" spans="1:14" ht="20.25" customHeight="1" x14ac:dyDescent="0.25">
      <c r="A17" s="256" t="s">
        <v>45</v>
      </c>
      <c r="B17" s="256"/>
      <c r="C17" s="256"/>
      <c r="D17" s="256"/>
      <c r="E17" s="256"/>
      <c r="F17" s="256"/>
      <c r="G17" s="256"/>
      <c r="H17" s="256"/>
    </row>
    <row r="18" spans="1:14" ht="26.25" customHeight="1" x14ac:dyDescent="0.4">
      <c r="A18" s="7" t="s">
        <v>31</v>
      </c>
      <c r="B18" s="252" t="s">
        <v>5</v>
      </c>
      <c r="C18" s="252"/>
      <c r="D18" s="153"/>
      <c r="E18" s="8"/>
      <c r="F18" s="162"/>
      <c r="G18" s="162"/>
      <c r="H18" s="162"/>
    </row>
    <row r="19" spans="1:14" ht="26.25" customHeight="1" x14ac:dyDescent="0.4">
      <c r="A19" s="7" t="s">
        <v>32</v>
      </c>
      <c r="B19" s="196" t="s">
        <v>7</v>
      </c>
      <c r="C19" s="162">
        <v>1</v>
      </c>
      <c r="D19" s="162"/>
      <c r="E19" s="162"/>
      <c r="F19" s="162"/>
      <c r="G19" s="162"/>
      <c r="H19" s="162"/>
    </row>
    <row r="20" spans="1:14" ht="26.25" customHeight="1" x14ac:dyDescent="0.4">
      <c r="A20" s="7" t="s">
        <v>33</v>
      </c>
      <c r="B20" s="257" t="s">
        <v>9</v>
      </c>
      <c r="C20" s="257"/>
      <c r="D20" s="162"/>
      <c r="E20" s="162"/>
      <c r="F20" s="162"/>
      <c r="G20" s="162"/>
      <c r="H20" s="162"/>
    </row>
    <row r="21" spans="1:14" ht="26.25" customHeight="1" x14ac:dyDescent="0.4">
      <c r="A21" s="7" t="s">
        <v>34</v>
      </c>
      <c r="B21" s="257" t="s">
        <v>9</v>
      </c>
      <c r="C21" s="257"/>
      <c r="D21" s="257"/>
      <c r="E21" s="257"/>
      <c r="F21" s="257"/>
      <c r="G21" s="257"/>
      <c r="H21" s="257"/>
      <c r="I21" s="11"/>
    </row>
    <row r="22" spans="1:14" ht="26.25" customHeight="1" x14ac:dyDescent="0.4">
      <c r="A22" s="7" t="s">
        <v>35</v>
      </c>
      <c r="B22" s="12" t="s">
        <v>11</v>
      </c>
      <c r="C22" s="162"/>
      <c r="D22" s="162"/>
      <c r="E22" s="162"/>
      <c r="F22" s="162"/>
      <c r="G22" s="162"/>
      <c r="H22" s="162"/>
    </row>
    <row r="23" spans="1:14" ht="26.25" customHeight="1" x14ac:dyDescent="0.4">
      <c r="A23" s="7" t="s">
        <v>36</v>
      </c>
      <c r="B23" s="12"/>
      <c r="C23" s="162"/>
      <c r="D23" s="162"/>
      <c r="E23" s="162"/>
      <c r="F23" s="162"/>
      <c r="G23" s="162"/>
      <c r="H23" s="162"/>
    </row>
    <row r="24" spans="1:14" ht="18.75" x14ac:dyDescent="0.3">
      <c r="A24" s="7"/>
      <c r="B24" s="13"/>
    </row>
    <row r="25" spans="1:14" ht="18.75" x14ac:dyDescent="0.3">
      <c r="A25" s="14" t="s">
        <v>1</v>
      </c>
      <c r="B25" s="13"/>
    </row>
    <row r="26" spans="1:14" ht="26.25" customHeight="1" x14ac:dyDescent="0.4">
      <c r="A26" s="147" t="s">
        <v>4</v>
      </c>
      <c r="B26" s="252" t="s">
        <v>133</v>
      </c>
      <c r="C26" s="252"/>
    </row>
    <row r="27" spans="1:14" ht="26.25" customHeight="1" x14ac:dyDescent="0.4">
      <c r="A27" s="116" t="s">
        <v>46</v>
      </c>
      <c r="B27" s="258" t="s">
        <v>137</v>
      </c>
      <c r="C27" s="258"/>
    </row>
    <row r="28" spans="1:14" ht="27" customHeight="1" thickBot="1" x14ac:dyDescent="0.45">
      <c r="A28" s="116" t="s">
        <v>6</v>
      </c>
      <c r="B28" s="108">
        <v>99.3</v>
      </c>
    </row>
    <row r="29" spans="1:14" s="3" customFormat="1" ht="27" customHeight="1" thickBot="1" x14ac:dyDescent="0.45">
      <c r="A29" s="116" t="s">
        <v>47</v>
      </c>
      <c r="B29" s="18">
        <v>0</v>
      </c>
      <c r="C29" s="259" t="s">
        <v>48</v>
      </c>
      <c r="D29" s="260"/>
      <c r="E29" s="260"/>
      <c r="F29" s="260"/>
      <c r="G29" s="261"/>
      <c r="I29" s="19"/>
      <c r="J29" s="19"/>
      <c r="K29" s="19"/>
      <c r="L29" s="19"/>
    </row>
    <row r="30" spans="1:14" s="3" customFormat="1" ht="19.5" customHeight="1" thickBot="1" x14ac:dyDescent="0.35">
      <c r="A30" s="116" t="s">
        <v>49</v>
      </c>
      <c r="B30" s="192">
        <f>B28-B29</f>
        <v>99.3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3" customFormat="1" ht="27" customHeight="1" thickBot="1" x14ac:dyDescent="0.45">
      <c r="A31" s="116" t="s">
        <v>50</v>
      </c>
      <c r="B31" s="23">
        <v>1</v>
      </c>
      <c r="C31" s="262" t="s">
        <v>51</v>
      </c>
      <c r="D31" s="263"/>
      <c r="E31" s="263"/>
      <c r="F31" s="263"/>
      <c r="G31" s="263"/>
      <c r="H31" s="264"/>
      <c r="I31" s="19"/>
      <c r="J31" s="19"/>
      <c r="K31" s="19"/>
      <c r="L31" s="19"/>
    </row>
    <row r="32" spans="1:14" s="3" customFormat="1" ht="27" customHeight="1" thickBot="1" x14ac:dyDescent="0.45">
      <c r="A32" s="116" t="s">
        <v>52</v>
      </c>
      <c r="B32" s="23">
        <v>1</v>
      </c>
      <c r="C32" s="262" t="s">
        <v>53</v>
      </c>
      <c r="D32" s="263"/>
      <c r="E32" s="263"/>
      <c r="F32" s="263"/>
      <c r="G32" s="263"/>
      <c r="H32" s="264"/>
      <c r="I32" s="19"/>
      <c r="J32" s="19"/>
      <c r="K32" s="19"/>
      <c r="L32" s="24"/>
      <c r="M32" s="24"/>
      <c r="N32" s="25"/>
    </row>
    <row r="33" spans="1:14" s="3" customFormat="1" ht="17.25" customHeight="1" x14ac:dyDescent="0.3">
      <c r="A33" s="116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3" customFormat="1" ht="18.75" x14ac:dyDescent="0.3">
      <c r="A34" s="116" t="s">
        <v>54</v>
      </c>
      <c r="B34" s="28">
        <f>B31/B32</f>
        <v>1</v>
      </c>
      <c r="C34" s="105" t="s">
        <v>55</v>
      </c>
      <c r="D34" s="105"/>
      <c r="E34" s="105"/>
      <c r="F34" s="105"/>
      <c r="G34" s="105"/>
      <c r="I34" s="19"/>
      <c r="J34" s="19"/>
      <c r="K34" s="19"/>
      <c r="L34" s="24"/>
      <c r="M34" s="24"/>
      <c r="N34" s="25"/>
    </row>
    <row r="35" spans="1:14" s="3" customFormat="1" ht="19.5" customHeight="1" thickBot="1" x14ac:dyDescent="0.35">
      <c r="A35" s="116"/>
      <c r="B35" s="192"/>
      <c r="G35" s="105"/>
      <c r="I35" s="19"/>
      <c r="J35" s="19"/>
      <c r="K35" s="19"/>
      <c r="L35" s="24"/>
      <c r="M35" s="24"/>
      <c r="N35" s="25"/>
    </row>
    <row r="36" spans="1:14" s="3" customFormat="1" ht="27" customHeight="1" thickBot="1" x14ac:dyDescent="0.45">
      <c r="A36" s="29" t="s">
        <v>56</v>
      </c>
      <c r="B36" s="30">
        <v>25</v>
      </c>
      <c r="C36" s="105"/>
      <c r="D36" s="265" t="s">
        <v>57</v>
      </c>
      <c r="E36" s="266"/>
      <c r="F36" s="265" t="s">
        <v>58</v>
      </c>
      <c r="G36" s="267"/>
      <c r="J36" s="19"/>
      <c r="K36" s="19"/>
      <c r="L36" s="24"/>
      <c r="M36" s="24"/>
      <c r="N36" s="25"/>
    </row>
    <row r="37" spans="1:14" s="3" customFormat="1" ht="27" customHeight="1" thickBot="1" x14ac:dyDescent="0.45">
      <c r="A37" s="31" t="s">
        <v>59</v>
      </c>
      <c r="B37" s="32">
        <v>4</v>
      </c>
      <c r="C37" s="33" t="s">
        <v>60</v>
      </c>
      <c r="D37" s="34" t="s">
        <v>61</v>
      </c>
      <c r="E37" s="35" t="s">
        <v>62</v>
      </c>
      <c r="F37" s="34" t="s">
        <v>61</v>
      </c>
      <c r="G37" s="36" t="s">
        <v>62</v>
      </c>
      <c r="I37" s="37" t="s">
        <v>63</v>
      </c>
      <c r="J37" s="19"/>
      <c r="K37" s="19"/>
      <c r="L37" s="24"/>
      <c r="M37" s="24"/>
      <c r="N37" s="25"/>
    </row>
    <row r="38" spans="1:14" s="3" customFormat="1" ht="26.25" customHeight="1" x14ac:dyDescent="0.4">
      <c r="A38" s="31" t="s">
        <v>64</v>
      </c>
      <c r="B38" s="32">
        <v>100</v>
      </c>
      <c r="C38" s="38">
        <v>1</v>
      </c>
      <c r="D38" s="39">
        <v>3047972</v>
      </c>
      <c r="E38" s="40">
        <f>IF(ISBLANK(D38),"-",$D$48/$D$45*D38)</f>
        <v>2930270.3651094651</v>
      </c>
      <c r="F38" s="39">
        <v>2668803</v>
      </c>
      <c r="G38" s="41">
        <f>IF(ISBLANK(F38),"-",$D$48/$F$45*F38)</f>
        <v>2826094.9676124039</v>
      </c>
      <c r="I38" s="42"/>
      <c r="J38" s="19"/>
      <c r="K38" s="19"/>
      <c r="L38" s="24"/>
      <c r="M38" s="24"/>
      <c r="N38" s="25"/>
    </row>
    <row r="39" spans="1:14" s="3" customFormat="1" ht="26.25" customHeight="1" x14ac:dyDescent="0.4">
      <c r="A39" s="31" t="s">
        <v>65</v>
      </c>
      <c r="B39" s="32">
        <v>1</v>
      </c>
      <c r="C39" s="63">
        <v>2</v>
      </c>
      <c r="D39" s="44">
        <v>3044550</v>
      </c>
      <c r="E39" s="45">
        <f>IF(ISBLANK(D39),"-",$D$48/$D$45*D39)</f>
        <v>2926980.510350496</v>
      </c>
      <c r="F39" s="44">
        <v>2688916</v>
      </c>
      <c r="G39" s="46">
        <f>IF(ISBLANK(F39),"-",$D$48/$F$45*F39)</f>
        <v>2847393.3729587663</v>
      </c>
      <c r="I39" s="269">
        <f>ABS((F43/D43*D42)-F42)/D42</f>
        <v>2.6942736611170331E-2</v>
      </c>
      <c r="J39" s="19"/>
      <c r="K39" s="19"/>
      <c r="L39" s="24"/>
      <c r="M39" s="24"/>
      <c r="N39" s="25"/>
    </row>
    <row r="40" spans="1:14" ht="26.25" customHeight="1" x14ac:dyDescent="0.4">
      <c r="A40" s="31" t="s">
        <v>66</v>
      </c>
      <c r="B40" s="32">
        <v>1</v>
      </c>
      <c r="C40" s="63">
        <v>3</v>
      </c>
      <c r="D40" s="44">
        <v>3047277</v>
      </c>
      <c r="E40" s="45">
        <f>IF(ISBLANK(D40),"-",$D$48/$D$45*D40)</f>
        <v>2929602.2034912645</v>
      </c>
      <c r="F40" s="44">
        <v>2693833</v>
      </c>
      <c r="G40" s="46">
        <f>IF(ISBLANK(F40),"-",$D$48/$F$45*F40)</f>
        <v>2852600.1675238768</v>
      </c>
      <c r="I40" s="269"/>
      <c r="L40" s="24"/>
      <c r="M40" s="24"/>
      <c r="N40" s="105"/>
    </row>
    <row r="41" spans="1:14" ht="27" customHeight="1" thickBot="1" x14ac:dyDescent="0.45">
      <c r="A41" s="31" t="s">
        <v>67</v>
      </c>
      <c r="B41" s="32">
        <v>1</v>
      </c>
      <c r="C41" s="48">
        <v>4</v>
      </c>
      <c r="D41" s="49"/>
      <c r="E41" s="50" t="str">
        <f>IF(ISBLANK(D41),"-",$D$48/$D$45*D41)</f>
        <v>-</v>
      </c>
      <c r="F41" s="49"/>
      <c r="G41" s="51" t="str">
        <f>IF(ISBLANK(F41),"-",$D$48/$F$45*F41)</f>
        <v>-</v>
      </c>
      <c r="I41" s="52"/>
      <c r="L41" s="24"/>
      <c r="M41" s="24"/>
      <c r="N41" s="105"/>
    </row>
    <row r="42" spans="1:14" ht="27" customHeight="1" thickBot="1" x14ac:dyDescent="0.45">
      <c r="A42" s="31" t="s">
        <v>68</v>
      </c>
      <c r="B42" s="32">
        <v>1</v>
      </c>
      <c r="C42" s="53" t="s">
        <v>69</v>
      </c>
      <c r="D42" s="54">
        <f>AVERAGE(D38:D41)</f>
        <v>3046599.6666666665</v>
      </c>
      <c r="E42" s="55">
        <f>AVERAGE(E38:E41)</f>
        <v>2928951.0263170754</v>
      </c>
      <c r="F42" s="54">
        <f>AVERAGE(F38:F41)</f>
        <v>2683850.6666666665</v>
      </c>
      <c r="G42" s="56">
        <f>AVERAGE(G38:G41)</f>
        <v>2842029.5026983493</v>
      </c>
      <c r="H42" s="57"/>
    </row>
    <row r="43" spans="1:14" ht="26.25" customHeight="1" x14ac:dyDescent="0.4">
      <c r="A43" s="31" t="s">
        <v>70</v>
      </c>
      <c r="B43" s="32">
        <v>1</v>
      </c>
      <c r="C43" s="58" t="s">
        <v>71</v>
      </c>
      <c r="D43" s="59">
        <v>20.95</v>
      </c>
      <c r="E43" s="105"/>
      <c r="F43" s="59">
        <v>19.02</v>
      </c>
      <c r="H43" s="57"/>
    </row>
    <row r="44" spans="1:14" ht="26.25" customHeight="1" x14ac:dyDescent="0.4">
      <c r="A44" s="31" t="s">
        <v>72</v>
      </c>
      <c r="B44" s="32">
        <v>1</v>
      </c>
      <c r="C44" s="60" t="s">
        <v>73</v>
      </c>
      <c r="D44" s="61">
        <f>D43*$B$34</f>
        <v>20.95</v>
      </c>
      <c r="E44" s="124"/>
      <c r="F44" s="61">
        <f>F43*$B$34</f>
        <v>19.02</v>
      </c>
      <c r="H44" s="57"/>
    </row>
    <row r="45" spans="1:14" ht="19.5" customHeight="1" thickBot="1" x14ac:dyDescent="0.35">
      <c r="A45" s="31" t="s">
        <v>74</v>
      </c>
      <c r="B45" s="63">
        <f>(B44/B43)*(B42/B41)*(B40/B39)*(B38/B37)*B36</f>
        <v>625</v>
      </c>
      <c r="C45" s="60" t="s">
        <v>75</v>
      </c>
      <c r="D45" s="64">
        <f>D44*$B$30/100</f>
        <v>20.803350000000002</v>
      </c>
      <c r="E45" s="101"/>
      <c r="F45" s="64">
        <f>F44*$B$30/100</f>
        <v>18.886859999999999</v>
      </c>
      <c r="H45" s="57"/>
    </row>
    <row r="46" spans="1:14" ht="19.5" customHeight="1" thickBot="1" x14ac:dyDescent="0.35">
      <c r="A46" s="270" t="s">
        <v>76</v>
      </c>
      <c r="B46" s="271"/>
      <c r="C46" s="60" t="s">
        <v>77</v>
      </c>
      <c r="D46" s="66">
        <f>D45/$B$45</f>
        <v>3.328536E-2</v>
      </c>
      <c r="E46" s="67"/>
      <c r="F46" s="68">
        <f>F45/$B$45</f>
        <v>3.0218975999999998E-2</v>
      </c>
      <c r="H46" s="57"/>
    </row>
    <row r="47" spans="1:14" ht="27" customHeight="1" thickBot="1" x14ac:dyDescent="0.45">
      <c r="A47" s="272"/>
      <c r="B47" s="273"/>
      <c r="C47" s="69" t="s">
        <v>78</v>
      </c>
      <c r="D47" s="70">
        <v>3.2000000000000001E-2</v>
      </c>
      <c r="E47" s="71"/>
      <c r="F47" s="67"/>
      <c r="H47" s="57"/>
    </row>
    <row r="48" spans="1:14" ht="18.75" x14ac:dyDescent="0.3">
      <c r="C48" s="72" t="s">
        <v>79</v>
      </c>
      <c r="D48" s="64">
        <f>D47*$B$45</f>
        <v>20</v>
      </c>
      <c r="F48" s="73"/>
      <c r="H48" s="57"/>
    </row>
    <row r="49" spans="1:12" ht="19.5" customHeight="1" thickBot="1" x14ac:dyDescent="0.35">
      <c r="C49" s="74" t="s">
        <v>80</v>
      </c>
      <c r="D49" s="75">
        <f>D48/B34</f>
        <v>20</v>
      </c>
      <c r="F49" s="73"/>
      <c r="H49" s="57"/>
    </row>
    <row r="50" spans="1:12" ht="18.75" x14ac:dyDescent="0.3">
      <c r="C50" s="29" t="s">
        <v>81</v>
      </c>
      <c r="D50" s="76">
        <f>AVERAGE(E38:E41,G38:G41)</f>
        <v>2885490.2645077123</v>
      </c>
      <c r="F50" s="77"/>
      <c r="H50" s="57"/>
    </row>
    <row r="51" spans="1:12" ht="18.75" x14ac:dyDescent="0.3">
      <c r="C51" s="31" t="s">
        <v>82</v>
      </c>
      <c r="D51" s="78">
        <f>STDEV(E38:E41,G38:G41)/D50</f>
        <v>1.6788390487354192E-2</v>
      </c>
      <c r="F51" s="77"/>
      <c r="H51" s="57"/>
    </row>
    <row r="52" spans="1:12" ht="19.5" customHeight="1" thickBot="1" x14ac:dyDescent="0.35">
      <c r="C52" s="79" t="s">
        <v>19</v>
      </c>
      <c r="D52" s="80">
        <f>COUNT(E38:E41,G38:G41)</f>
        <v>6</v>
      </c>
      <c r="F52" s="77"/>
    </row>
    <row r="54" spans="1:12" ht="18.75" x14ac:dyDescent="0.3">
      <c r="A54" s="81" t="s">
        <v>1</v>
      </c>
      <c r="B54" s="82" t="s">
        <v>83</v>
      </c>
    </row>
    <row r="55" spans="1:12" ht="18.75" x14ac:dyDescent="0.3">
      <c r="A55" s="105" t="s">
        <v>84</v>
      </c>
      <c r="B55" s="84" t="str">
        <f>B21</f>
        <v>Sulphamethoxazole 800 mg, Trimethoprim 160 mg</v>
      </c>
    </row>
    <row r="56" spans="1:12" ht="26.25" customHeight="1" x14ac:dyDescent="0.4">
      <c r="A56" s="84" t="s">
        <v>85</v>
      </c>
      <c r="B56" s="85">
        <v>160</v>
      </c>
      <c r="C56" s="105" t="str">
        <f>B20</f>
        <v>Sulphamethoxazole 800 mg, Trimethoprim 160 mg</v>
      </c>
      <c r="H56" s="124"/>
    </row>
    <row r="57" spans="1:12" ht="18.75" x14ac:dyDescent="0.3">
      <c r="A57" s="84" t="s">
        <v>86</v>
      </c>
      <c r="B57" s="154">
        <f>'Uniformity (2)'!C46</f>
        <v>1073.8945000000001</v>
      </c>
      <c r="H57" s="124"/>
    </row>
    <row r="58" spans="1:12" ht="19.5" customHeight="1" thickBot="1" x14ac:dyDescent="0.35">
      <c r="H58" s="124"/>
    </row>
    <row r="59" spans="1:12" s="3" customFormat="1" ht="27" customHeight="1" thickBot="1" x14ac:dyDescent="0.45">
      <c r="A59" s="29" t="s">
        <v>87</v>
      </c>
      <c r="B59" s="30">
        <v>100</v>
      </c>
      <c r="C59" s="105"/>
      <c r="D59" s="87" t="s">
        <v>88</v>
      </c>
      <c r="E59" s="177" t="s">
        <v>60</v>
      </c>
      <c r="F59" s="177" t="s">
        <v>61</v>
      </c>
      <c r="G59" s="177" t="s">
        <v>89</v>
      </c>
      <c r="H59" s="33" t="s">
        <v>90</v>
      </c>
      <c r="L59" s="19"/>
    </row>
    <row r="60" spans="1:12" s="3" customFormat="1" ht="26.25" customHeight="1" x14ac:dyDescent="0.4">
      <c r="A60" s="31" t="s">
        <v>91</v>
      </c>
      <c r="B60" s="32">
        <v>2</v>
      </c>
      <c r="C60" s="274" t="s">
        <v>92</v>
      </c>
      <c r="D60" s="277">
        <f>sulfamethoxazole!D60</f>
        <v>1090.46</v>
      </c>
      <c r="E60" s="182">
        <v>1</v>
      </c>
      <c r="F60" s="90">
        <v>2779470</v>
      </c>
      <c r="G60" s="155">
        <f>IF(ISBLANK(F60),"-",(F60/$D$50*$D$47*$B$68)*($B$57/$D$60))</f>
        <v>151.77989175966295</v>
      </c>
      <c r="H60" s="173">
        <f t="shared" ref="H60:H71" si="0">IF(ISBLANK(F60),"-",(G60/$B$56)*100)</f>
        <v>94.862432349789344</v>
      </c>
      <c r="L60" s="19"/>
    </row>
    <row r="61" spans="1:12" s="3" customFormat="1" ht="26.25" customHeight="1" x14ac:dyDescent="0.4">
      <c r="A61" s="31" t="s">
        <v>93</v>
      </c>
      <c r="B61" s="32">
        <v>100</v>
      </c>
      <c r="C61" s="275"/>
      <c r="D61" s="278"/>
      <c r="E61" s="178">
        <v>2</v>
      </c>
      <c r="F61" s="44">
        <v>2786802</v>
      </c>
      <c r="G61" s="156">
        <f>IF(ISBLANK(F61),"-",(F61/$D$50*$D$47*$B$68)*($B$57/$D$60))</f>
        <v>152.18027390675641</v>
      </c>
      <c r="H61" s="174">
        <f t="shared" si="0"/>
        <v>95.112671191722754</v>
      </c>
      <c r="L61" s="19"/>
    </row>
    <row r="62" spans="1:12" s="3" customFormat="1" ht="26.25" customHeight="1" x14ac:dyDescent="0.4">
      <c r="A62" s="31" t="s">
        <v>94</v>
      </c>
      <c r="B62" s="32">
        <v>1</v>
      </c>
      <c r="C62" s="275"/>
      <c r="D62" s="278"/>
      <c r="E62" s="178">
        <v>3</v>
      </c>
      <c r="F62" s="92">
        <v>2786300</v>
      </c>
      <c r="G62" s="156">
        <f>IF(ISBLANK(F62),"-",(F62/$D$50*$D$47*$B$68)*($B$57/$D$60))</f>
        <v>152.15286094469411</v>
      </c>
      <c r="H62" s="174">
        <f t="shared" si="0"/>
        <v>95.09553809043382</v>
      </c>
      <c r="L62" s="19"/>
    </row>
    <row r="63" spans="1:12" ht="27" customHeight="1" thickBot="1" x14ac:dyDescent="0.45">
      <c r="A63" s="31" t="s">
        <v>95</v>
      </c>
      <c r="B63" s="32">
        <v>1</v>
      </c>
      <c r="C63" s="276"/>
      <c r="D63" s="279"/>
      <c r="E63" s="179">
        <v>4</v>
      </c>
      <c r="F63" s="94"/>
      <c r="G63" s="156" t="str">
        <f>IF(ISBLANK(F63),"-",(F63/$D$50*$D$47*$B$68)*($B$57/$D$60))</f>
        <v>-</v>
      </c>
      <c r="H63" s="174" t="str">
        <f t="shared" si="0"/>
        <v>-</v>
      </c>
    </row>
    <row r="64" spans="1:12" ht="26.25" customHeight="1" x14ac:dyDescent="0.4">
      <c r="A64" s="31" t="s">
        <v>96</v>
      </c>
      <c r="B64" s="32">
        <v>1</v>
      </c>
      <c r="C64" s="274" t="s">
        <v>97</v>
      </c>
      <c r="D64" s="277">
        <f>sulfamethoxazole!D64</f>
        <v>1057.0999999999999</v>
      </c>
      <c r="E64" s="182">
        <v>1</v>
      </c>
      <c r="F64" s="90">
        <v>2716977</v>
      </c>
      <c r="G64" s="155">
        <f>IF(ISBLANK(F64),"-",(F64/$D$50*$D$47*$B$68)*($B$57/$D$64))</f>
        <v>153.04948642036356</v>
      </c>
      <c r="H64" s="173">
        <f t="shared" si="0"/>
        <v>95.655929012727228</v>
      </c>
    </row>
    <row r="65" spans="1:8" ht="26.25" customHeight="1" x14ac:dyDescent="0.4">
      <c r="A65" s="31" t="s">
        <v>98</v>
      </c>
      <c r="B65" s="32">
        <v>1</v>
      </c>
      <c r="C65" s="275"/>
      <c r="D65" s="278"/>
      <c r="E65" s="178">
        <v>2</v>
      </c>
      <c r="F65" s="44">
        <v>2715166</v>
      </c>
      <c r="G65" s="156">
        <f>IF(ISBLANK(F65),"-",(F65/$D$50*$D$47*$B$68)*($B$57/$D$64))</f>
        <v>152.94747134261087</v>
      </c>
      <c r="H65" s="174">
        <f t="shared" si="0"/>
        <v>95.5921695891318</v>
      </c>
    </row>
    <row r="66" spans="1:8" ht="26.25" customHeight="1" x14ac:dyDescent="0.4">
      <c r="A66" s="31" t="s">
        <v>99</v>
      </c>
      <c r="B66" s="32">
        <v>1</v>
      </c>
      <c r="C66" s="275"/>
      <c r="D66" s="278"/>
      <c r="E66" s="178">
        <v>3</v>
      </c>
      <c r="F66" s="44">
        <v>2707156</v>
      </c>
      <c r="G66" s="156">
        <f>IF(ISBLANK(F66),"-",(F66/$D$50*$D$47*$B$68)*($B$57/$D$64))</f>
        <v>152.49626163924307</v>
      </c>
      <c r="H66" s="174">
        <f t="shared" si="0"/>
        <v>95.310163524526928</v>
      </c>
    </row>
    <row r="67" spans="1:8" ht="27" customHeight="1" thickBot="1" x14ac:dyDescent="0.45">
      <c r="A67" s="31" t="s">
        <v>100</v>
      </c>
      <c r="B67" s="32">
        <v>1</v>
      </c>
      <c r="C67" s="276"/>
      <c r="D67" s="279"/>
      <c r="E67" s="179">
        <v>4</v>
      </c>
      <c r="F67" s="94"/>
      <c r="G67" s="172" t="str">
        <f>IF(ISBLANK(F67),"-",(F67/$D$50*$D$47*$B$68)*($B$57/$D$64))</f>
        <v>-</v>
      </c>
      <c r="H67" s="175" t="str">
        <f t="shared" si="0"/>
        <v>-</v>
      </c>
    </row>
    <row r="68" spans="1:8" ht="26.25" customHeight="1" x14ac:dyDescent="0.4">
      <c r="A68" s="31" t="s">
        <v>101</v>
      </c>
      <c r="B68" s="95">
        <f>(B67/B66)*(B65/B64)*(B63/B62)*(B61/B60)*B59</f>
        <v>5000</v>
      </c>
      <c r="C68" s="274" t="s">
        <v>102</v>
      </c>
      <c r="D68" s="277">
        <f>sulfamethoxazole!D68</f>
        <v>1076.24</v>
      </c>
      <c r="E68" s="182">
        <v>1</v>
      </c>
      <c r="F68" s="90">
        <v>2861613</v>
      </c>
      <c r="G68" s="155">
        <f>IF(ISBLANK(F68),"-",(F68/$D$50*$D$47*$B$68)*($B$57/$D$68))</f>
        <v>158.33019926045057</v>
      </c>
      <c r="H68" s="174">
        <f t="shared" si="0"/>
        <v>98.956374537781613</v>
      </c>
    </row>
    <row r="69" spans="1:8" ht="27" customHeight="1" thickBot="1" x14ac:dyDescent="0.45">
      <c r="A69" s="79" t="s">
        <v>103</v>
      </c>
      <c r="B69" s="96">
        <f>(D47*B68)/B56*B57</f>
        <v>1073.8945000000001</v>
      </c>
      <c r="C69" s="275"/>
      <c r="D69" s="278"/>
      <c r="E69" s="178">
        <v>2</v>
      </c>
      <c r="F69" s="44">
        <v>2830737</v>
      </c>
      <c r="G69" s="156">
        <f>IF(ISBLANK(F69),"-",(F69/$D$50*$D$47*$B$68)*($B$57/$D$68))</f>
        <v>156.62186090988897</v>
      </c>
      <c r="H69" s="174">
        <f t="shared" si="0"/>
        <v>97.8886630686806</v>
      </c>
    </row>
    <row r="70" spans="1:8" ht="26.25" customHeight="1" x14ac:dyDescent="0.4">
      <c r="A70" s="287" t="s">
        <v>76</v>
      </c>
      <c r="B70" s="288"/>
      <c r="C70" s="275"/>
      <c r="D70" s="278"/>
      <c r="E70" s="178">
        <v>3</v>
      </c>
      <c r="F70" s="44">
        <v>2815538</v>
      </c>
      <c r="G70" s="156">
        <f>IF(ISBLANK(F70),"-",(F70/$D$50*$D$47*$B$68)*($B$57/$D$68))</f>
        <v>155.78091536674262</v>
      </c>
      <c r="H70" s="174">
        <f t="shared" si="0"/>
        <v>97.363072104214126</v>
      </c>
    </row>
    <row r="71" spans="1:8" ht="27" customHeight="1" thickBot="1" x14ac:dyDescent="0.45">
      <c r="A71" s="289"/>
      <c r="B71" s="290"/>
      <c r="C71" s="286"/>
      <c r="D71" s="279"/>
      <c r="E71" s="179">
        <v>4</v>
      </c>
      <c r="F71" s="94"/>
      <c r="G71" s="172" t="str">
        <f>IF(ISBLANK(F71),"-",(F71/$D$50*$D$47*$B$68)*($B$57/$D$68))</f>
        <v>-</v>
      </c>
      <c r="H71" s="175" t="str">
        <f t="shared" si="0"/>
        <v>-</v>
      </c>
    </row>
    <row r="72" spans="1:8" ht="26.25" customHeight="1" x14ac:dyDescent="0.4">
      <c r="A72" s="124"/>
      <c r="B72" s="124"/>
      <c r="C72" s="124"/>
      <c r="D72" s="124"/>
      <c r="E72" s="124"/>
      <c r="F72" s="99" t="s">
        <v>69</v>
      </c>
      <c r="G72" s="161">
        <f>AVERAGE(G60:G71)</f>
        <v>153.92658017226813</v>
      </c>
      <c r="H72" s="176">
        <f>AVERAGE(H60:H71)</f>
        <v>96.204112607667582</v>
      </c>
    </row>
    <row r="73" spans="1:8" ht="26.25" customHeight="1" x14ac:dyDescent="0.4">
      <c r="C73" s="124"/>
      <c r="D73" s="124"/>
      <c r="E73" s="124"/>
      <c r="F73" s="100" t="s">
        <v>82</v>
      </c>
      <c r="G73" s="163">
        <f>STDEV(G60:G71)/G72</f>
        <v>1.5351904541620363E-2</v>
      </c>
      <c r="H73" s="163">
        <f>STDEV(H60:H71)/H72</f>
        <v>1.5351904541620352E-2</v>
      </c>
    </row>
    <row r="74" spans="1:8" ht="27" customHeight="1" thickBot="1" x14ac:dyDescent="0.45">
      <c r="A74" s="124"/>
      <c r="B74" s="124"/>
      <c r="C74" s="124"/>
      <c r="D74" s="124"/>
      <c r="E74" s="101"/>
      <c r="F74" s="102" t="s">
        <v>19</v>
      </c>
      <c r="G74" s="103">
        <f>COUNT(G60:G71)</f>
        <v>9</v>
      </c>
      <c r="H74" s="103">
        <f>COUNT(H60:H71)</f>
        <v>9</v>
      </c>
    </row>
    <row r="76" spans="1:8" ht="26.25" customHeight="1" x14ac:dyDescent="0.4">
      <c r="A76" s="147" t="s">
        <v>104</v>
      </c>
      <c r="B76" s="116" t="s">
        <v>105</v>
      </c>
      <c r="C76" s="282" t="str">
        <f>B26</f>
        <v>Trimethoprim</v>
      </c>
      <c r="D76" s="282"/>
      <c r="E76" s="105" t="s">
        <v>106</v>
      </c>
      <c r="F76" s="105"/>
      <c r="G76" s="106">
        <f>H72</f>
        <v>96.204112607667582</v>
      </c>
      <c r="H76" s="192"/>
    </row>
    <row r="77" spans="1:8" ht="18.75" x14ac:dyDescent="0.3">
      <c r="A77" s="14" t="s">
        <v>107</v>
      </c>
      <c r="B77" s="14" t="s">
        <v>108</v>
      </c>
    </row>
    <row r="78" spans="1:8" ht="18.75" x14ac:dyDescent="0.3">
      <c r="A78" s="14"/>
      <c r="B78" s="14"/>
    </row>
    <row r="79" spans="1:8" ht="26.25" customHeight="1" x14ac:dyDescent="0.4">
      <c r="A79" s="147" t="s">
        <v>4</v>
      </c>
      <c r="B79" s="268" t="str">
        <f>B26</f>
        <v>Trimethoprim</v>
      </c>
      <c r="C79" s="268"/>
    </row>
    <row r="80" spans="1:8" ht="26.25" customHeight="1" x14ac:dyDescent="0.4">
      <c r="A80" s="116" t="s">
        <v>46</v>
      </c>
      <c r="B80" s="268" t="str">
        <f>B27</f>
        <v>T7-4</v>
      </c>
      <c r="C80" s="268"/>
    </row>
    <row r="81" spans="1:12" ht="27" customHeight="1" thickBot="1" x14ac:dyDescent="0.45">
      <c r="A81" s="116" t="s">
        <v>6</v>
      </c>
      <c r="B81" s="108">
        <f>B28</f>
        <v>99.3</v>
      </c>
    </row>
    <row r="82" spans="1:12" s="3" customFormat="1" ht="27" customHeight="1" thickBot="1" x14ac:dyDescent="0.45">
      <c r="A82" s="116" t="s">
        <v>47</v>
      </c>
      <c r="B82" s="18">
        <v>0</v>
      </c>
      <c r="C82" s="259" t="s">
        <v>48</v>
      </c>
      <c r="D82" s="260"/>
      <c r="E82" s="260"/>
      <c r="F82" s="260"/>
      <c r="G82" s="261"/>
      <c r="I82" s="19"/>
      <c r="J82" s="19"/>
      <c r="K82" s="19"/>
      <c r="L82" s="19"/>
    </row>
    <row r="83" spans="1:12" s="3" customFormat="1" ht="19.5" customHeight="1" thickBot="1" x14ac:dyDescent="0.35">
      <c r="A83" s="116" t="s">
        <v>49</v>
      </c>
      <c r="B83" s="192">
        <f>B81-B82</f>
        <v>99.3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3" customFormat="1" ht="27" customHeight="1" thickBot="1" x14ac:dyDescent="0.45">
      <c r="A84" s="116" t="s">
        <v>50</v>
      </c>
      <c r="B84" s="23">
        <v>1</v>
      </c>
      <c r="C84" s="262" t="s">
        <v>109</v>
      </c>
      <c r="D84" s="263"/>
      <c r="E84" s="263"/>
      <c r="F84" s="263"/>
      <c r="G84" s="263"/>
      <c r="H84" s="264"/>
      <c r="I84" s="19"/>
      <c r="J84" s="19"/>
      <c r="K84" s="19"/>
      <c r="L84" s="19"/>
    </row>
    <row r="85" spans="1:12" s="3" customFormat="1" ht="27" customHeight="1" thickBot="1" x14ac:dyDescent="0.45">
      <c r="A85" s="116" t="s">
        <v>52</v>
      </c>
      <c r="B85" s="23">
        <v>1</v>
      </c>
      <c r="C85" s="262" t="s">
        <v>110</v>
      </c>
      <c r="D85" s="263"/>
      <c r="E85" s="263"/>
      <c r="F85" s="263"/>
      <c r="G85" s="263"/>
      <c r="H85" s="264"/>
      <c r="I85" s="19"/>
      <c r="J85" s="19"/>
      <c r="K85" s="19"/>
      <c r="L85" s="19"/>
    </row>
    <row r="86" spans="1:12" s="3" customFormat="1" ht="18.75" x14ac:dyDescent="0.3">
      <c r="A86" s="116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3" customFormat="1" ht="18.75" x14ac:dyDescent="0.3">
      <c r="A87" s="116" t="s">
        <v>54</v>
      </c>
      <c r="B87" s="28">
        <f>B84/B85</f>
        <v>1</v>
      </c>
      <c r="C87" s="105" t="s">
        <v>55</v>
      </c>
      <c r="D87" s="105"/>
      <c r="E87" s="105"/>
      <c r="F87" s="105"/>
      <c r="G87" s="105"/>
      <c r="I87" s="19"/>
      <c r="J87" s="19"/>
      <c r="K87" s="19"/>
      <c r="L87" s="19"/>
    </row>
    <row r="88" spans="1:12" ht="19.5" customHeight="1" thickBot="1" x14ac:dyDescent="0.35">
      <c r="A88" s="14"/>
      <c r="B88" s="14"/>
    </row>
    <row r="89" spans="1:12" ht="27" customHeight="1" thickBot="1" x14ac:dyDescent="0.45">
      <c r="A89" s="29" t="s">
        <v>56</v>
      </c>
      <c r="B89" s="30">
        <v>25</v>
      </c>
      <c r="D89" s="194" t="s">
        <v>57</v>
      </c>
      <c r="E89" s="197"/>
      <c r="F89" s="265" t="s">
        <v>58</v>
      </c>
      <c r="G89" s="267"/>
    </row>
    <row r="90" spans="1:12" ht="27" customHeight="1" thickBot="1" x14ac:dyDescent="0.45">
      <c r="A90" s="31" t="s">
        <v>59</v>
      </c>
      <c r="B90" s="32">
        <v>4</v>
      </c>
      <c r="C90" s="193" t="s">
        <v>60</v>
      </c>
      <c r="D90" s="34" t="s">
        <v>61</v>
      </c>
      <c r="E90" s="35" t="s">
        <v>62</v>
      </c>
      <c r="F90" s="34" t="s">
        <v>61</v>
      </c>
      <c r="G90" s="112" t="s">
        <v>62</v>
      </c>
      <c r="I90" s="37" t="s">
        <v>63</v>
      </c>
    </row>
    <row r="91" spans="1:12" ht="26.25" customHeight="1" x14ac:dyDescent="0.4">
      <c r="A91" s="31" t="s">
        <v>64</v>
      </c>
      <c r="B91" s="32">
        <v>100</v>
      </c>
      <c r="C91" s="113">
        <v>1</v>
      </c>
      <c r="D91" s="39">
        <v>2604138</v>
      </c>
      <c r="E91" s="40">
        <f>IF(ISBLANK(D91),"-",$D$101/$D$98*D91)</f>
        <v>2647781.7843181835</v>
      </c>
      <c r="F91" s="39">
        <v>2301029</v>
      </c>
      <c r="G91" s="41">
        <f>IF(ISBLANK(F91),"-",$D$101/$F$98*F91)</f>
        <v>2711660.8135716617</v>
      </c>
      <c r="I91" s="42"/>
    </row>
    <row r="92" spans="1:12" ht="26.25" customHeight="1" x14ac:dyDescent="0.4">
      <c r="A92" s="31" t="s">
        <v>65</v>
      </c>
      <c r="B92" s="32">
        <v>1</v>
      </c>
      <c r="C92" s="124">
        <v>2</v>
      </c>
      <c r="D92" s="44">
        <v>2599356</v>
      </c>
      <c r="E92" s="45">
        <f>IF(ISBLANK(D92),"-",$D$101/$D$98*D92)</f>
        <v>2642919.6408785465</v>
      </c>
      <c r="F92" s="44">
        <v>2295596</v>
      </c>
      <c r="G92" s="46">
        <f>IF(ISBLANK(F92),"-",$D$101/$F$98*F92)</f>
        <v>2705258.2635820117</v>
      </c>
      <c r="I92" s="269">
        <f>ABS((F96/D96*D95)-F95)/D95</f>
        <v>2.0020970580719236E-2</v>
      </c>
    </row>
    <row r="93" spans="1:12" ht="26.25" customHeight="1" x14ac:dyDescent="0.4">
      <c r="A93" s="31" t="s">
        <v>66</v>
      </c>
      <c r="B93" s="32">
        <v>1</v>
      </c>
      <c r="C93" s="124">
        <v>3</v>
      </c>
      <c r="D93" s="44">
        <v>2603433</v>
      </c>
      <c r="E93" s="45">
        <f>IF(ISBLANK(D93),"-",$D$101/$D$98*D93)</f>
        <v>2647064.9689428294</v>
      </c>
      <c r="F93" s="44">
        <v>2295413</v>
      </c>
      <c r="G93" s="46">
        <f>IF(ISBLANK(F93),"-",$D$101/$F$98*F93)</f>
        <v>2705042.6061831336</v>
      </c>
      <c r="I93" s="269"/>
    </row>
    <row r="94" spans="1:12" ht="27" customHeight="1" thickBot="1" x14ac:dyDescent="0.45">
      <c r="A94" s="31" t="s">
        <v>67</v>
      </c>
      <c r="B94" s="32">
        <v>1</v>
      </c>
      <c r="C94" s="114">
        <v>4</v>
      </c>
      <c r="D94" s="49"/>
      <c r="E94" s="50" t="str">
        <f>IF(ISBLANK(D94),"-",$D$101/$D$98*D94)</f>
        <v>-</v>
      </c>
      <c r="F94" s="115"/>
      <c r="G94" s="51" t="str">
        <f>IF(ISBLANK(F94),"-",$D$101/$F$98*F94)</f>
        <v>-</v>
      </c>
      <c r="I94" s="52"/>
    </row>
    <row r="95" spans="1:12" ht="27" customHeight="1" thickBot="1" x14ac:dyDescent="0.45">
      <c r="A95" s="31" t="s">
        <v>68</v>
      </c>
      <c r="B95" s="32">
        <v>1</v>
      </c>
      <c r="C95" s="116" t="s">
        <v>69</v>
      </c>
      <c r="D95" s="117">
        <f>AVERAGE(D91:D94)</f>
        <v>2602309</v>
      </c>
      <c r="E95" s="55">
        <f>AVERAGE(E91:E94)</f>
        <v>2645922.131379853</v>
      </c>
      <c r="F95" s="118">
        <f>AVERAGE(F91:F94)</f>
        <v>2297346</v>
      </c>
      <c r="G95" s="119">
        <f>AVERAGE(G91:G94)</f>
        <v>2707320.5611122693</v>
      </c>
    </row>
    <row r="96" spans="1:12" ht="26.25" customHeight="1" x14ac:dyDescent="0.4">
      <c r="A96" s="31" t="s">
        <v>70</v>
      </c>
      <c r="B96" s="108">
        <v>1</v>
      </c>
      <c r="C96" s="120" t="s">
        <v>111</v>
      </c>
      <c r="D96" s="121">
        <v>22.01</v>
      </c>
      <c r="E96" s="105"/>
      <c r="F96" s="59">
        <v>18.989999999999998</v>
      </c>
    </row>
    <row r="97" spans="1:10" ht="26.25" customHeight="1" x14ac:dyDescent="0.4">
      <c r="A97" s="31" t="s">
        <v>72</v>
      </c>
      <c r="B97" s="108">
        <v>1</v>
      </c>
      <c r="C97" s="122" t="s">
        <v>112</v>
      </c>
      <c r="D97" s="123">
        <f>D96*$B$87</f>
        <v>22.01</v>
      </c>
      <c r="E97" s="124"/>
      <c r="F97" s="61">
        <f>F96*$B$87</f>
        <v>18.989999999999998</v>
      </c>
    </row>
    <row r="98" spans="1:10" ht="19.5" customHeight="1" thickBot="1" x14ac:dyDescent="0.35">
      <c r="A98" s="31" t="s">
        <v>74</v>
      </c>
      <c r="B98" s="124">
        <f>(B97/B96)*(B95/B94)*(B93/B92)*(B91/B90)*B89</f>
        <v>625</v>
      </c>
      <c r="C98" s="122" t="s">
        <v>113</v>
      </c>
      <c r="D98" s="125">
        <f>D97*$B$83/100</f>
        <v>21.855930000000004</v>
      </c>
      <c r="E98" s="101"/>
      <c r="F98" s="64">
        <f>F97*$B$83/100</f>
        <v>18.85707</v>
      </c>
    </row>
    <row r="99" spans="1:10" ht="19.5" customHeight="1" thickBot="1" x14ac:dyDescent="0.35">
      <c r="A99" s="270" t="s">
        <v>76</v>
      </c>
      <c r="B99" s="284"/>
      <c r="C99" s="122" t="s">
        <v>114</v>
      </c>
      <c r="D99" s="126">
        <f>D98/$B$98</f>
        <v>3.4969488000000007E-2</v>
      </c>
      <c r="E99" s="101"/>
      <c r="F99" s="68">
        <f>F98/$B$98</f>
        <v>3.0171311999999999E-2</v>
      </c>
      <c r="H99" s="57"/>
    </row>
    <row r="100" spans="1:10" ht="19.5" customHeight="1" thickBot="1" x14ac:dyDescent="0.35">
      <c r="A100" s="272"/>
      <c r="B100" s="285"/>
      <c r="C100" s="122" t="s">
        <v>78</v>
      </c>
      <c r="D100" s="128">
        <f>$B$56/$B$116</f>
        <v>3.5555555555555556E-2</v>
      </c>
      <c r="F100" s="73"/>
      <c r="G100" s="135"/>
      <c r="H100" s="57"/>
    </row>
    <row r="101" spans="1:10" ht="18.75" x14ac:dyDescent="0.3">
      <c r="C101" s="122" t="s">
        <v>79</v>
      </c>
      <c r="D101" s="123">
        <f>D100*$B$98</f>
        <v>22.222222222222221</v>
      </c>
      <c r="F101" s="73"/>
      <c r="H101" s="57"/>
    </row>
    <row r="102" spans="1:10" ht="19.5" customHeight="1" thickBot="1" x14ac:dyDescent="0.35">
      <c r="C102" s="130" t="s">
        <v>80</v>
      </c>
      <c r="D102" s="131">
        <f>D101/B34</f>
        <v>22.222222222222221</v>
      </c>
      <c r="F102" s="77"/>
      <c r="H102" s="57"/>
      <c r="J102" s="132"/>
    </row>
    <row r="103" spans="1:10" ht="18.75" x14ac:dyDescent="0.3">
      <c r="C103" s="133" t="s">
        <v>115</v>
      </c>
      <c r="D103" s="134">
        <f>AVERAGE(E91:E94,G91:G94)</f>
        <v>2676621.3462460609</v>
      </c>
      <c r="F103" s="77"/>
      <c r="G103" s="135"/>
      <c r="H103" s="57"/>
      <c r="J103" s="136"/>
    </row>
    <row r="104" spans="1:10" ht="18.75" x14ac:dyDescent="0.3">
      <c r="C104" s="100" t="s">
        <v>82</v>
      </c>
      <c r="D104" s="137">
        <f>STDEV(E91:E94,G91:G94)/D103</f>
        <v>1.261072681995809E-2</v>
      </c>
      <c r="F104" s="77"/>
      <c r="H104" s="57"/>
      <c r="J104" s="136"/>
    </row>
    <row r="105" spans="1:10" ht="19.5" customHeight="1" thickBot="1" x14ac:dyDescent="0.35">
      <c r="C105" s="102" t="s">
        <v>19</v>
      </c>
      <c r="D105" s="138">
        <f>COUNT(E91:E94,G91:G94)</f>
        <v>6</v>
      </c>
      <c r="F105" s="77"/>
      <c r="H105" s="57"/>
      <c r="J105" s="136"/>
    </row>
    <row r="106" spans="1:10" ht="19.5" customHeight="1" thickBot="1" x14ac:dyDescent="0.35">
      <c r="A106" s="81"/>
      <c r="B106" s="81"/>
      <c r="C106" s="81"/>
      <c r="D106" s="81"/>
      <c r="E106" s="81"/>
    </row>
    <row r="107" spans="1:10" ht="27" customHeight="1" thickBot="1" x14ac:dyDescent="0.45">
      <c r="A107" s="29" t="s">
        <v>116</v>
      </c>
      <c r="B107" s="30">
        <v>900</v>
      </c>
      <c r="C107" s="177" t="s">
        <v>117</v>
      </c>
      <c r="D107" s="177" t="s">
        <v>61</v>
      </c>
      <c r="E107" s="177" t="s">
        <v>118</v>
      </c>
      <c r="F107" s="139" t="s">
        <v>119</v>
      </c>
    </row>
    <row r="108" spans="1:10" ht="26.25" customHeight="1" x14ac:dyDescent="0.4">
      <c r="A108" s="31" t="s">
        <v>120</v>
      </c>
      <c r="B108" s="32">
        <v>10</v>
      </c>
      <c r="C108" s="182">
        <v>1</v>
      </c>
      <c r="D108" s="183">
        <v>2673181</v>
      </c>
      <c r="E108" s="157">
        <f t="shared" ref="E108:E113" si="1">IF(ISBLANK(D108),"-",D108/$D$103*$D$100*$B$116)</f>
        <v>159.79434692914566</v>
      </c>
      <c r="F108" s="184">
        <f t="shared" ref="F108:F113" si="2">IF(ISBLANK(D108), "-", (E108/$B$56)*100)</f>
        <v>99.871466830716031</v>
      </c>
    </row>
    <row r="109" spans="1:10" ht="26.25" customHeight="1" x14ac:dyDescent="0.4">
      <c r="A109" s="31" t="s">
        <v>93</v>
      </c>
      <c r="B109" s="32">
        <v>50</v>
      </c>
      <c r="C109" s="178">
        <v>2</v>
      </c>
      <c r="D109" s="180">
        <v>2659366</v>
      </c>
      <c r="E109" s="158">
        <f t="shared" si="1"/>
        <v>158.96852970882796</v>
      </c>
      <c r="F109" s="187">
        <f t="shared" si="2"/>
        <v>99.355331068017477</v>
      </c>
    </row>
    <row r="110" spans="1:10" ht="26.25" customHeight="1" x14ac:dyDescent="0.4">
      <c r="A110" s="31" t="s">
        <v>94</v>
      </c>
      <c r="B110" s="32">
        <v>1</v>
      </c>
      <c r="C110" s="178">
        <v>3</v>
      </c>
      <c r="D110" s="180">
        <v>2672099</v>
      </c>
      <c r="E110" s="158">
        <f t="shared" si="1"/>
        <v>159.72966837450335</v>
      </c>
      <c r="F110" s="187">
        <f t="shared" si="2"/>
        <v>99.831042734064596</v>
      </c>
    </row>
    <row r="111" spans="1:10" ht="26.25" customHeight="1" x14ac:dyDescent="0.4">
      <c r="A111" s="31" t="s">
        <v>95</v>
      </c>
      <c r="B111" s="32">
        <v>1</v>
      </c>
      <c r="C111" s="178">
        <v>4</v>
      </c>
      <c r="D111" s="180">
        <v>2671347</v>
      </c>
      <c r="E111" s="158">
        <f t="shared" si="1"/>
        <v>159.68471618125838</v>
      </c>
      <c r="F111" s="187">
        <f t="shared" si="2"/>
        <v>99.802947613286491</v>
      </c>
    </row>
    <row r="112" spans="1:10" ht="26.25" customHeight="1" x14ac:dyDescent="0.4">
      <c r="A112" s="31" t="s">
        <v>96</v>
      </c>
      <c r="B112" s="32">
        <v>1</v>
      </c>
      <c r="C112" s="178">
        <v>5</v>
      </c>
      <c r="D112" s="180">
        <v>2671461</v>
      </c>
      <c r="E112" s="158">
        <f t="shared" si="1"/>
        <v>159.69153074246842</v>
      </c>
      <c r="F112" s="187">
        <f t="shared" si="2"/>
        <v>99.807206714042763</v>
      </c>
    </row>
    <row r="113" spans="1:10" ht="27" customHeight="1" thickBot="1" x14ac:dyDescent="0.45">
      <c r="A113" s="31" t="s">
        <v>98</v>
      </c>
      <c r="B113" s="32">
        <v>1</v>
      </c>
      <c r="C113" s="179">
        <v>6</v>
      </c>
      <c r="D113" s="181">
        <v>2664367</v>
      </c>
      <c r="E113" s="159">
        <f t="shared" si="1"/>
        <v>159.26747374927737</v>
      </c>
      <c r="F113" s="186">
        <f t="shared" si="2"/>
        <v>99.542171093298364</v>
      </c>
    </row>
    <row r="114" spans="1:10" ht="27" customHeight="1" thickBot="1" x14ac:dyDescent="0.45">
      <c r="A114" s="31" t="s">
        <v>99</v>
      </c>
      <c r="B114" s="32">
        <v>1</v>
      </c>
      <c r="C114" s="140"/>
      <c r="D114" s="124"/>
      <c r="E114" s="105"/>
      <c r="F114" s="187"/>
    </row>
    <row r="115" spans="1:10" ht="26.25" customHeight="1" x14ac:dyDescent="0.4">
      <c r="A115" s="31" t="s">
        <v>100</v>
      </c>
      <c r="B115" s="32">
        <v>1</v>
      </c>
      <c r="C115" s="140"/>
      <c r="D115" s="164" t="s">
        <v>69</v>
      </c>
      <c r="E115" s="166">
        <f>AVERAGE(E108:E113)</f>
        <v>159.52271094758021</v>
      </c>
      <c r="F115" s="188">
        <f>AVERAGE(F108:F113)</f>
        <v>99.701694342237616</v>
      </c>
    </row>
    <row r="116" spans="1:10" ht="27" customHeight="1" thickBot="1" x14ac:dyDescent="0.45">
      <c r="A116" s="31" t="s">
        <v>101</v>
      </c>
      <c r="B116" s="63">
        <f>(B115/B114)*(B113/B112)*(B111/B110)*(B109/B108)*B107</f>
        <v>4500</v>
      </c>
      <c r="C116" s="141"/>
      <c r="D116" s="165" t="s">
        <v>82</v>
      </c>
      <c r="E116" s="163">
        <f>STDEV(E108:E113)/E115</f>
        <v>2.0670103722246771E-3</v>
      </c>
      <c r="F116" s="142">
        <f>STDEV(F108:F113)/F115</f>
        <v>2.0670103722246541E-3</v>
      </c>
      <c r="I116" s="105"/>
    </row>
    <row r="117" spans="1:10" ht="27" customHeight="1" thickBot="1" x14ac:dyDescent="0.45">
      <c r="A117" s="270" t="s">
        <v>76</v>
      </c>
      <c r="B117" s="271"/>
      <c r="C117" s="143"/>
      <c r="D117" s="102" t="s">
        <v>19</v>
      </c>
      <c r="E117" s="168">
        <f>COUNT(E108:E113)</f>
        <v>6</v>
      </c>
      <c r="F117" s="169">
        <f>COUNT(F108:F113)</f>
        <v>6</v>
      </c>
      <c r="I117" s="105"/>
      <c r="J117" s="136"/>
    </row>
    <row r="118" spans="1:10" ht="26.25" customHeight="1" thickBot="1" x14ac:dyDescent="0.35">
      <c r="A118" s="272"/>
      <c r="B118" s="273"/>
      <c r="C118" s="105"/>
      <c r="D118" s="167"/>
      <c r="E118" s="250" t="s">
        <v>121</v>
      </c>
      <c r="F118" s="251"/>
      <c r="G118" s="105"/>
      <c r="H118" s="105"/>
      <c r="I118" s="105"/>
    </row>
    <row r="119" spans="1:10" ht="25.5" customHeight="1" x14ac:dyDescent="0.4">
      <c r="A119" s="152"/>
      <c r="B119" s="27"/>
      <c r="C119" s="105"/>
      <c r="D119" s="165" t="s">
        <v>122</v>
      </c>
      <c r="E119" s="170">
        <f>MIN(E108:E113)</f>
        <v>158.96852970882796</v>
      </c>
      <c r="F119" s="189">
        <f>MIN(F108:F113)</f>
        <v>99.355331068017477</v>
      </c>
      <c r="G119" s="105"/>
      <c r="H119" s="105"/>
      <c r="I119" s="105"/>
    </row>
    <row r="120" spans="1:10" ht="24" customHeight="1" thickBot="1" x14ac:dyDescent="0.45">
      <c r="A120" s="152"/>
      <c r="B120" s="27"/>
      <c r="C120" s="105"/>
      <c r="D120" s="74" t="s">
        <v>123</v>
      </c>
      <c r="E120" s="171">
        <f>MAX(E108:E113)</f>
        <v>159.79434692914566</v>
      </c>
      <c r="F120" s="190">
        <f>MAX(F108:F113)</f>
        <v>99.871466830716031</v>
      </c>
      <c r="G120" s="105"/>
      <c r="H120" s="105"/>
      <c r="I120" s="105"/>
    </row>
    <row r="121" spans="1:10" ht="27" customHeight="1" x14ac:dyDescent="0.3">
      <c r="A121" s="152"/>
      <c r="B121" s="27"/>
      <c r="C121" s="105"/>
      <c r="D121" s="105"/>
      <c r="E121" s="105"/>
      <c r="F121" s="124"/>
      <c r="G121" s="105"/>
      <c r="H121" s="105"/>
      <c r="I121" s="105"/>
    </row>
    <row r="122" spans="1:10" ht="25.5" customHeight="1" x14ac:dyDescent="0.3">
      <c r="A122" s="152"/>
      <c r="B122" s="27"/>
      <c r="C122" s="105"/>
      <c r="D122" s="105"/>
      <c r="E122" s="105"/>
      <c r="F122" s="124"/>
      <c r="G122" s="105"/>
      <c r="H122" s="105"/>
      <c r="I122" s="105"/>
    </row>
    <row r="123" spans="1:10" ht="18.75" x14ac:dyDescent="0.3">
      <c r="A123" s="152"/>
      <c r="B123" s="27"/>
      <c r="C123" s="105"/>
      <c r="D123" s="105"/>
      <c r="E123" s="105"/>
      <c r="F123" s="124"/>
      <c r="G123" s="105"/>
      <c r="H123" s="105"/>
      <c r="I123" s="105"/>
    </row>
    <row r="124" spans="1:10" ht="45.75" customHeight="1" x14ac:dyDescent="0.65">
      <c r="A124" s="147" t="s">
        <v>104</v>
      </c>
      <c r="B124" s="116" t="s">
        <v>124</v>
      </c>
      <c r="C124" s="282" t="str">
        <f>B26</f>
        <v>Trimethoprim</v>
      </c>
      <c r="D124" s="282"/>
      <c r="E124" s="105" t="s">
        <v>125</v>
      </c>
      <c r="F124" s="105"/>
      <c r="G124" s="191">
        <f>F115</f>
        <v>99.701694342237616</v>
      </c>
      <c r="H124" s="105"/>
      <c r="I124" s="105"/>
    </row>
    <row r="125" spans="1:10" ht="45.75" customHeight="1" x14ac:dyDescent="0.65">
      <c r="A125" s="147"/>
      <c r="B125" s="116" t="s">
        <v>126</v>
      </c>
      <c r="C125" s="116" t="s">
        <v>127</v>
      </c>
      <c r="D125" s="191">
        <f>MIN(F108:F113)</f>
        <v>99.355331068017477</v>
      </c>
      <c r="E125" s="116" t="s">
        <v>128</v>
      </c>
      <c r="F125" s="191">
        <f>MAX(F108:F113)</f>
        <v>99.871466830716031</v>
      </c>
      <c r="G125" s="106"/>
      <c r="H125" s="105"/>
      <c r="I125" s="105"/>
    </row>
    <row r="126" spans="1:10" ht="19.5" customHeight="1" thickBot="1" x14ac:dyDescent="0.35">
      <c r="A126" s="195"/>
      <c r="B126" s="195"/>
      <c r="C126" s="145"/>
      <c r="D126" s="145"/>
      <c r="E126" s="145"/>
      <c r="F126" s="145"/>
      <c r="G126" s="145"/>
      <c r="H126" s="145"/>
    </row>
    <row r="127" spans="1:10" ht="18.75" x14ac:dyDescent="0.3">
      <c r="B127" s="283" t="s">
        <v>24</v>
      </c>
      <c r="C127" s="283"/>
      <c r="E127" s="193" t="s">
        <v>25</v>
      </c>
      <c r="F127" s="146"/>
      <c r="G127" s="283" t="s">
        <v>26</v>
      </c>
      <c r="H127" s="283"/>
    </row>
    <row r="128" spans="1:10" ht="69.95" customHeight="1" x14ac:dyDescent="0.3">
      <c r="A128" s="147" t="s">
        <v>27</v>
      </c>
      <c r="B128" s="149"/>
      <c r="C128" s="149"/>
      <c r="E128" s="149"/>
      <c r="F128" s="105"/>
      <c r="G128" s="149"/>
      <c r="H128" s="149"/>
    </row>
    <row r="129" spans="1:9" ht="69.95" customHeight="1" x14ac:dyDescent="0.3">
      <c r="A129" s="147" t="s">
        <v>28</v>
      </c>
      <c r="B129" s="150"/>
      <c r="C129" s="150"/>
      <c r="E129" s="150"/>
      <c r="F129" s="105"/>
      <c r="G129" s="151"/>
      <c r="H129" s="151"/>
    </row>
    <row r="130" spans="1:9" ht="18.75" x14ac:dyDescent="0.3">
      <c r="A130" s="124"/>
      <c r="B130" s="124"/>
      <c r="C130" s="124"/>
      <c r="D130" s="124"/>
      <c r="E130" s="124"/>
      <c r="F130" s="101"/>
      <c r="G130" s="124"/>
      <c r="H130" s="124"/>
      <c r="I130" s="105"/>
    </row>
    <row r="131" spans="1:9" ht="18.75" x14ac:dyDescent="0.3">
      <c r="A131" s="124"/>
      <c r="B131" s="124"/>
      <c r="C131" s="124"/>
      <c r="D131" s="124"/>
      <c r="E131" s="124"/>
      <c r="F131" s="101"/>
      <c r="G131" s="124"/>
      <c r="H131" s="124"/>
      <c r="I131" s="105"/>
    </row>
    <row r="132" spans="1:9" ht="18.75" x14ac:dyDescent="0.3">
      <c r="A132" s="124"/>
      <c r="B132" s="124"/>
      <c r="C132" s="124"/>
      <c r="D132" s="124"/>
      <c r="E132" s="124"/>
      <c r="F132" s="101"/>
      <c r="G132" s="124"/>
      <c r="H132" s="124"/>
      <c r="I132" s="105"/>
    </row>
    <row r="133" spans="1:9" ht="18.75" x14ac:dyDescent="0.3">
      <c r="A133" s="124"/>
      <c r="B133" s="124"/>
      <c r="C133" s="124"/>
      <c r="D133" s="124"/>
      <c r="E133" s="124"/>
      <c r="F133" s="101"/>
      <c r="G133" s="124"/>
      <c r="H133" s="124"/>
      <c r="I133" s="105"/>
    </row>
    <row r="134" spans="1:9" ht="18.75" x14ac:dyDescent="0.3">
      <c r="A134" s="124"/>
      <c r="B134" s="124"/>
      <c r="C134" s="124"/>
      <c r="D134" s="124"/>
      <c r="E134" s="124"/>
      <c r="F134" s="101"/>
      <c r="G134" s="124"/>
      <c r="H134" s="124"/>
      <c r="I134" s="105"/>
    </row>
    <row r="135" spans="1:9" ht="18.75" x14ac:dyDescent="0.3">
      <c r="A135" s="124"/>
      <c r="B135" s="124"/>
      <c r="C135" s="124"/>
      <c r="D135" s="124"/>
      <c r="E135" s="124"/>
      <c r="F135" s="101"/>
      <c r="G135" s="124"/>
      <c r="H135" s="124"/>
      <c r="I135" s="105"/>
    </row>
    <row r="136" spans="1:9" ht="18.75" x14ac:dyDescent="0.3">
      <c r="A136" s="124"/>
      <c r="B136" s="124"/>
      <c r="C136" s="124"/>
      <c r="D136" s="124"/>
      <c r="E136" s="124"/>
      <c r="F136" s="101"/>
      <c r="G136" s="124"/>
      <c r="H136" s="124"/>
      <c r="I136" s="105"/>
    </row>
    <row r="137" spans="1:9" ht="18.75" x14ac:dyDescent="0.3">
      <c r="A137" s="124"/>
      <c r="B137" s="124"/>
      <c r="C137" s="124"/>
      <c r="D137" s="124"/>
      <c r="E137" s="124"/>
      <c r="F137" s="101"/>
      <c r="G137" s="124"/>
      <c r="H137" s="124"/>
      <c r="I137" s="105"/>
    </row>
    <row r="138" spans="1:9" ht="18.75" x14ac:dyDescent="0.3">
      <c r="A138" s="124"/>
      <c r="B138" s="124"/>
      <c r="C138" s="124"/>
      <c r="D138" s="124"/>
      <c r="E138" s="124"/>
      <c r="F138" s="101"/>
      <c r="G138" s="124"/>
      <c r="H138" s="124"/>
      <c r="I138" s="105"/>
    </row>
    <row r="250" spans="1:1" x14ac:dyDescent="0.25">
      <c r="A250" s="12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</vt:lpstr>
      <vt:lpstr>Uniformity (2)</vt:lpstr>
      <vt:lpstr>sulfamethoxazole</vt:lpstr>
      <vt:lpstr>TRIMETHROPRIM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2017-05-24T09:43:09Z</cp:lastPrinted>
  <dcterms:created xsi:type="dcterms:W3CDTF">2005-07-05T10:19:27Z</dcterms:created>
  <dcterms:modified xsi:type="dcterms:W3CDTF">2017-05-24T09:59:13Z</dcterms:modified>
</cp:coreProperties>
</file>