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NQCL MUTERU\Analysis\Analysis Worsheet 2017\"/>
    </mc:Choice>
  </mc:AlternateContent>
  <bookViews>
    <workbookView xWindow="0" yWindow="0" windowWidth="20490" windowHeight="7650" activeTab="2"/>
  </bookViews>
  <sheets>
    <sheet name="SST" sheetId="1" r:id="rId1"/>
    <sheet name="Uniformity" sheetId="4" r:id="rId2"/>
    <sheet name="SULFAMETHOXAZOLE" sheetId="2" r:id="rId3"/>
    <sheet name="TRIMETHOPRIM" sheetId="3" r:id="rId4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42" i="1" l="1"/>
  <c r="B20" i="1"/>
  <c r="B21" i="1" s="1"/>
  <c r="C46" i="4"/>
  <c r="D50" i="4" s="1"/>
  <c r="C45" i="4"/>
  <c r="D35" i="4"/>
  <c r="C19" i="4"/>
  <c r="D27" i="4" l="1"/>
  <c r="D43" i="4"/>
  <c r="B57" i="3"/>
  <c r="D31" i="4"/>
  <c r="D39" i="4"/>
  <c r="C49" i="4"/>
  <c r="B57" i="2"/>
  <c r="D28" i="4"/>
  <c r="D40" i="4"/>
  <c r="D49" i="4"/>
  <c r="C50" i="4"/>
  <c r="D24" i="4"/>
  <c r="D32" i="4"/>
  <c r="D36" i="4"/>
  <c r="D25" i="4"/>
  <c r="D29" i="4"/>
  <c r="D33" i="4"/>
  <c r="D37" i="4"/>
  <c r="D41" i="4"/>
  <c r="D26" i="4"/>
  <c r="D30" i="4"/>
  <c r="D34" i="4"/>
  <c r="D38" i="4"/>
  <c r="D42" i="4"/>
  <c r="B49" i="4"/>
  <c r="C124" i="3" l="1"/>
  <c r="B116" i="3"/>
  <c r="D100" i="3"/>
  <c r="D101" i="3" s="1"/>
  <c r="B98" i="3"/>
  <c r="F95" i="3"/>
  <c r="I92" i="3" s="1"/>
  <c r="D95" i="3"/>
  <c r="B87" i="3"/>
  <c r="F97" i="3" s="1"/>
  <c r="B81" i="3"/>
  <c r="B83" i="3" s="1"/>
  <c r="B80" i="3"/>
  <c r="B79" i="3"/>
  <c r="C76" i="3"/>
  <c r="B68" i="3"/>
  <c r="B69" i="3" s="1"/>
  <c r="C56" i="3"/>
  <c r="B55" i="3"/>
  <c r="B45" i="3"/>
  <c r="D48" i="3" s="1"/>
  <c r="F42" i="3"/>
  <c r="D42" i="3"/>
  <c r="B34" i="3"/>
  <c r="F44" i="3" s="1"/>
  <c r="B30" i="3"/>
  <c r="C124" i="2"/>
  <c r="B116" i="2"/>
  <c r="D100" i="2" s="1"/>
  <c r="D101" i="2" s="1"/>
  <c r="B98" i="2"/>
  <c r="F95" i="2"/>
  <c r="D95" i="2"/>
  <c r="B87" i="2"/>
  <c r="D97" i="2" s="1"/>
  <c r="B81" i="2"/>
  <c r="B83" i="2" s="1"/>
  <c r="B80" i="2"/>
  <c r="B79" i="2"/>
  <c r="C76" i="2"/>
  <c r="B68" i="2"/>
  <c r="B69" i="2" s="1"/>
  <c r="C56" i="2"/>
  <c r="B55" i="2"/>
  <c r="B45" i="2"/>
  <c r="D48" i="2" s="1"/>
  <c r="F44" i="2"/>
  <c r="F42" i="2"/>
  <c r="D42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2" l="1"/>
  <c r="I39" i="3"/>
  <c r="D49" i="3"/>
  <c r="D44" i="3"/>
  <c r="D45" i="3" s="1"/>
  <c r="E38" i="3" s="1"/>
  <c r="F45" i="3"/>
  <c r="G41" i="3" s="1"/>
  <c r="F98" i="3"/>
  <c r="F99" i="3" s="1"/>
  <c r="I39" i="2"/>
  <c r="D45" i="2"/>
  <c r="D46" i="2" s="1"/>
  <c r="D98" i="2"/>
  <c r="D99" i="2" s="1"/>
  <c r="F45" i="2"/>
  <c r="F46" i="2" s="1"/>
  <c r="G92" i="3"/>
  <c r="D102" i="3"/>
  <c r="G93" i="3"/>
  <c r="E91" i="2"/>
  <c r="D102" i="2"/>
  <c r="E92" i="2"/>
  <c r="E41" i="2"/>
  <c r="D49" i="2"/>
  <c r="F97" i="2"/>
  <c r="F98" i="2" s="1"/>
  <c r="F99" i="2" s="1"/>
  <c r="D97" i="3"/>
  <c r="D98" i="3" s="1"/>
  <c r="D99" i="3" s="1"/>
  <c r="G39" i="3" l="1"/>
  <c r="G38" i="3"/>
  <c r="G40" i="3"/>
  <c r="E40" i="3"/>
  <c r="F46" i="3"/>
  <c r="E39" i="3"/>
  <c r="D46" i="3"/>
  <c r="G91" i="3"/>
  <c r="G94" i="3"/>
  <c r="E41" i="3"/>
  <c r="E38" i="2"/>
  <c r="G38" i="2"/>
  <c r="E40" i="2"/>
  <c r="G39" i="2"/>
  <c r="G91" i="2"/>
  <c r="G41" i="2"/>
  <c r="G92" i="2"/>
  <c r="E93" i="2"/>
  <c r="G40" i="2"/>
  <c r="E39" i="2"/>
  <c r="E94" i="2"/>
  <c r="E92" i="3"/>
  <c r="E91" i="3"/>
  <c r="G93" i="2"/>
  <c r="G94" i="2"/>
  <c r="E93" i="3"/>
  <c r="E94" i="3"/>
  <c r="G42" i="3" l="1"/>
  <c r="D50" i="3"/>
  <c r="G63" i="3" s="1"/>
  <c r="H63" i="3" s="1"/>
  <c r="D52" i="3"/>
  <c r="E42" i="3"/>
  <c r="G95" i="3"/>
  <c r="G95" i="2"/>
  <c r="D105" i="2"/>
  <c r="G42" i="2"/>
  <c r="E42" i="2"/>
  <c r="D50" i="2"/>
  <c r="G66" i="2" s="1"/>
  <c r="H66" i="2" s="1"/>
  <c r="E95" i="2"/>
  <c r="D103" i="2"/>
  <c r="E113" i="2" s="1"/>
  <c r="F113" i="2" s="1"/>
  <c r="D52" i="2"/>
  <c r="G67" i="3"/>
  <c r="H67" i="3" s="1"/>
  <c r="G65" i="3"/>
  <c r="H65" i="3" s="1"/>
  <c r="E111" i="2"/>
  <c r="F111" i="2" s="1"/>
  <c r="E109" i="2"/>
  <c r="F109" i="2" s="1"/>
  <c r="D103" i="3"/>
  <c r="E95" i="3"/>
  <c r="D105" i="3"/>
  <c r="G68" i="3" l="1"/>
  <c r="H68" i="3" s="1"/>
  <c r="D51" i="3"/>
  <c r="G62" i="3"/>
  <c r="H62" i="3" s="1"/>
  <c r="G64" i="3"/>
  <c r="H64" i="3" s="1"/>
  <c r="G71" i="3"/>
  <c r="H71" i="3" s="1"/>
  <c r="G66" i="3"/>
  <c r="H66" i="3" s="1"/>
  <c r="G61" i="3"/>
  <c r="H61" i="3" s="1"/>
  <c r="G70" i="3"/>
  <c r="H70" i="3" s="1"/>
  <c r="G60" i="3"/>
  <c r="H60" i="3" s="1"/>
  <c r="G69" i="3"/>
  <c r="H69" i="3" s="1"/>
  <c r="E108" i="2"/>
  <c r="E110" i="2"/>
  <c r="F110" i="2" s="1"/>
  <c r="G68" i="2"/>
  <c r="H68" i="2" s="1"/>
  <c r="G67" i="2"/>
  <c r="H67" i="2" s="1"/>
  <c r="G62" i="2"/>
  <c r="H62" i="2" s="1"/>
  <c r="G61" i="2"/>
  <c r="H61" i="2" s="1"/>
  <c r="G70" i="2"/>
  <c r="H70" i="2" s="1"/>
  <c r="G64" i="2"/>
  <c r="H64" i="2" s="1"/>
  <c r="G63" i="2"/>
  <c r="H63" i="2" s="1"/>
  <c r="D51" i="2"/>
  <c r="G69" i="2"/>
  <c r="H69" i="2" s="1"/>
  <c r="G65" i="2"/>
  <c r="H65" i="2" s="1"/>
  <c r="G60" i="2"/>
  <c r="H60" i="2" s="1"/>
  <c r="G71" i="2"/>
  <c r="H71" i="2" s="1"/>
  <c r="D104" i="2"/>
  <c r="E112" i="2"/>
  <c r="F112" i="2" s="1"/>
  <c r="F108" i="2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4" i="3" l="1"/>
  <c r="G72" i="3"/>
  <c r="G73" i="3" s="1"/>
  <c r="E119" i="2"/>
  <c r="G72" i="2"/>
  <c r="G73" i="2" s="1"/>
  <c r="G74" i="2"/>
  <c r="E115" i="2"/>
  <c r="E116" i="2" s="1"/>
  <c r="E117" i="2"/>
  <c r="E120" i="2"/>
  <c r="H72" i="2"/>
  <c r="H74" i="2"/>
  <c r="E120" i="3"/>
  <c r="E117" i="3"/>
  <c r="F108" i="3"/>
  <c r="E115" i="3"/>
  <c r="E116" i="3" s="1"/>
  <c r="E119" i="3"/>
  <c r="H74" i="3"/>
  <c r="H72" i="3"/>
  <c r="F125" i="2"/>
  <c r="F120" i="2"/>
  <c r="F117" i="2"/>
  <c r="D125" i="2"/>
  <c r="F115" i="2"/>
  <c r="F119" i="2"/>
  <c r="G124" i="2" l="1"/>
  <c r="F116" i="2"/>
  <c r="G76" i="3"/>
  <c r="H73" i="3"/>
  <c r="F125" i="3"/>
  <c r="F120" i="3"/>
  <c r="F117" i="3"/>
  <c r="D125" i="3"/>
  <c r="F115" i="3"/>
  <c r="F119" i="3"/>
  <c r="G76" i="2"/>
  <c r="H73" i="2"/>
  <c r="G124" i="3" l="1"/>
  <c r="F116" i="3"/>
</calcChain>
</file>

<file path=xl/sharedStrings.xml><?xml version="1.0" encoding="utf-8"?>
<sst xmlns="http://schemas.openxmlformats.org/spreadsheetml/2006/main" count="405" uniqueCount="137">
  <si>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</si>
  <si>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</si>
  <si>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</si>
  <si>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</si>
  <si>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</si>
  <si>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</si>
  <si>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</si>
  <si>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NDQB201705399r1</t>
  </si>
  <si>
    <t>Weight (mg):</t>
  </si>
  <si>
    <t>Sulphamethoxazole 800 mg, Trimethoprim 160 mg</t>
  </si>
  <si>
    <t>Standard Conc (mg/mL):</t>
  </si>
  <si>
    <t>Each tablet contain Sulphamethoxazole B.P 800 mg and Trimethoprim B.P 160 mg.</t>
  </si>
  <si>
    <t>2017-05-23 08:13:41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</si>
  <si>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</si>
  <si>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</si>
  <si>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</si>
  <si>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</si>
  <si>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</si>
  <si>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</si>
  <si>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</si>
  <si>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</si>
  <si>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</si>
  <si>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</si>
  <si>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</si>
  <si>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</si>
  <si>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</si>
  <si>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</si>
  <si>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</si>
  <si>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</si>
  <si>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</si>
  <si>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</si>
  <si>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</si>
  <si>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</si>
  <si>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</si>
  <si>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</si>
  <si>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</si>
  <si>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</si>
  <si>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</si>
  <si>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</si>
  <si>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</si>
  <si>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</si>
  <si>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</si>
  <si>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</si>
  <si>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</si>
  <si>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</si>
  <si>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</si>
  <si>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</si>
  <si>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</si>
  <si>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</si>
  <si>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</si>
  <si>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</si>
  <si>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</si>
  <si>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</si>
  <si>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</si>
  <si>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</si>
  <si>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</si>
  <si>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</si>
  <si>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</si>
  <si>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</si>
  <si>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</si>
  <si>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</si>
  <si>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</si>
  <si>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</si>
  <si>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</si>
  <si>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</si>
  <si>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</si>
  <si>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</si>
  <si>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</si>
  <si>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</si>
  <si>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</si>
  <si>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</si>
  <si>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</si>
  <si>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</si>
  <si>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</si>
  <si>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</si>
  <si>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</si>
  <si>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</si>
  <si>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</si>
  <si>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</si>
  <si>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</si>
  <si>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</si>
  <si>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</si>
  <si>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</si>
  <si>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</si>
  <si>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</si>
  <si>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</si>
  <si>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</si>
  <si>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</si>
  <si>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</si>
  <si>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</si>
  <si>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</si>
  <si>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</si>
  <si>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</si>
  <si>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</si>
  <si>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</si>
  <si>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</si>
  <si>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</si>
  <si>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</si>
  <si>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</si>
  <si>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</si>
  <si>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</si>
  <si>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</si>
  <si>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</si>
  <si>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</si>
  <si>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</si>
  <si>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</si>
  <si>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</si>
  <si>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</si>
  <si>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</si>
  <si>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</si>
  <si>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</si>
  <si>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</si>
  <si>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</si>
  <si>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</si>
  <si>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</si>
  <si>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</si>
  <si>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</si>
  <si>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</si>
  <si>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</si>
  <si>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</si>
  <si>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</si>
  <si>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</si>
  <si>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</si>
  <si>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Uniformity of Weight Test Report</t>
  </si>
  <si>
    <t>NDQB201705399</t>
  </si>
  <si>
    <t>Uniformity of weight</t>
  </si>
  <si>
    <t>Tablet weight (mg)</t>
  </si>
  <si>
    <t>% Deviation</t>
  </si>
  <si>
    <t>Total</t>
  </si>
  <si>
    <t>Average</t>
  </si>
  <si>
    <t>% Deviation from mean</t>
  </si>
  <si>
    <t>Sulfamethoxazole</t>
  </si>
  <si>
    <t>Trimethoprim</t>
  </si>
  <si>
    <t>S12 6</t>
  </si>
  <si>
    <t>Sulphamethoxazole 800 mg</t>
  </si>
  <si>
    <t>T7 4</t>
  </si>
  <si>
    <t xml:space="preserve"> Trimethoprim 160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</si>
</sst>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[$-409]d/mmm/yy;@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i/>
      <sz val="10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2" fillId="2" borderId="0"/>
    <xf numFmtId="0" fontId="22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1" fillId="2" borderId="0" xfId="1" applyFont="1" applyFill="1"/>
    <xf numFmtId="0" fontId="23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75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75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4" fillId="2" borderId="0" xfId="1" applyFont="1" applyFill="1"/>
    <xf numFmtId="164" fontId="1" fillId="2" borderId="0" xfId="1" applyNumberFormat="1" applyFont="1" applyFill="1"/>
    <xf numFmtId="164" fontId="5" fillId="2" borderId="19" xfId="1" applyNumberFormat="1" applyFont="1" applyFill="1" applyBorder="1" applyAlignment="1">
      <alignment horizontal="center" wrapText="1"/>
    </xf>
    <xf numFmtId="0" fontId="5" fillId="2" borderId="19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40" xfId="1" applyNumberFormat="1" applyFont="1" applyFill="1" applyBorder="1" applyProtection="1">
      <protection locked="0"/>
    </xf>
    <xf numFmtId="10" fontId="6" fillId="2" borderId="2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40" xfId="1" applyNumberFormat="1" applyFont="1" applyFill="1" applyBorder="1" applyAlignment="1">
      <alignment horizontal="center"/>
    </xf>
    <xf numFmtId="2" fontId="6" fillId="3" borderId="30" xfId="1" applyNumberFormat="1" applyFont="1" applyFill="1" applyBorder="1" applyProtection="1">
      <protection locked="0"/>
    </xf>
    <xf numFmtId="10" fontId="6" fillId="2" borderId="30" xfId="1" applyNumberFormat="1" applyFont="1" applyFill="1" applyBorder="1" applyAlignment="1">
      <alignment horizontal="center"/>
    </xf>
    <xf numFmtId="170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9" xfId="1" applyFont="1" applyFill="1" applyBorder="1" applyAlignment="1">
      <alignment horizontal="right" vertical="center"/>
    </xf>
    <xf numFmtId="170" fontId="6" fillId="2" borderId="19" xfId="1" applyNumberFormat="1" applyFont="1" applyFill="1" applyBorder="1" applyAlignment="1">
      <alignment horizontal="center" vertical="center"/>
    </xf>
    <xf numFmtId="170" fontId="6" fillId="2" borderId="0" xfId="1" applyNumberFormat="1" applyFont="1" applyFill="1" applyAlignment="1">
      <alignment horizontal="center"/>
    </xf>
    <xf numFmtId="164" fontId="5" fillId="2" borderId="19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5" fillId="2" borderId="0" xfId="1" applyNumberFormat="1" applyFont="1" applyFill="1"/>
    <xf numFmtId="0" fontId="5" fillId="2" borderId="19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35" xfId="1" applyNumberFormat="1" applyFont="1" applyFill="1" applyBorder="1" applyAlignment="1">
      <alignment horizontal="center"/>
    </xf>
    <xf numFmtId="2" fontId="5" fillId="2" borderId="19" xfId="1" applyNumberFormat="1" applyFont="1" applyFill="1" applyBorder="1" applyAlignment="1">
      <alignment horizontal="center" vertical="center"/>
    </xf>
    <xf numFmtId="165" fontId="5" fillId="2" borderId="3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2" fillId="2" borderId="0" xfId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2" borderId="0" xfId="1" applyFont="1" applyFill="1" applyAlignment="1">
      <alignment horizontal="right"/>
    </xf>
    <xf numFmtId="0" fontId="4" fillId="2" borderId="0" xfId="1" applyFont="1" applyFill="1" applyAlignment="1">
      <alignment horizontal="center"/>
    </xf>
    <xf numFmtId="164" fontId="1" fillId="2" borderId="0" xfId="1" applyNumberFormat="1" applyFont="1" applyFill="1" applyAlignment="1">
      <alignment horizontal="center"/>
    </xf>
    <xf numFmtId="170" fontId="5" fillId="2" borderId="23" xfId="1" applyNumberFormat="1" applyFont="1" applyFill="1" applyBorder="1" applyAlignment="1">
      <alignment horizontal="center" vertical="center"/>
    </xf>
    <xf numFmtId="170" fontId="5" fillId="2" borderId="30" xfId="1" applyNumberFormat="1" applyFont="1" applyFill="1" applyBorder="1" applyAlignment="1">
      <alignment horizontal="center" vertical="center"/>
    </xf>
    <xf numFmtId="0" fontId="23" fillId="2" borderId="54" xfId="1" applyFont="1" applyFill="1" applyBorder="1" applyAlignment="1">
      <alignment horizontal="center" wrapText="1"/>
    </xf>
    <xf numFmtId="0" fontId="23" fillId="2" borderId="55" xfId="1" applyFont="1" applyFill="1" applyBorder="1" applyAlignment="1">
      <alignment horizontal="center" wrapText="1"/>
    </xf>
    <xf numFmtId="0" fontId="23" fillId="2" borderId="56" xfId="1" applyFont="1" applyFill="1" applyBorder="1" applyAlignment="1">
      <alignment horizontal="center" wrapText="1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9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f>16.86</f>
        <v>16.86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0.1686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81571272</v>
      </c>
      <c r="C24" s="18">
        <v>14272.07</v>
      </c>
      <c r="D24" s="19">
        <v>0.98</v>
      </c>
      <c r="E24" s="20">
        <v>8.86</v>
      </c>
    </row>
    <row r="25" spans="1:6" ht="16.5" customHeight="1" x14ac:dyDescent="0.3">
      <c r="A25" s="17">
        <v>2</v>
      </c>
      <c r="B25" s="18">
        <v>81798561</v>
      </c>
      <c r="C25" s="18">
        <v>14329.38</v>
      </c>
      <c r="D25" s="19">
        <v>0.98</v>
      </c>
      <c r="E25" s="19">
        <v>8.82</v>
      </c>
    </row>
    <row r="26" spans="1:6" ht="16.5" customHeight="1" x14ac:dyDescent="0.3">
      <c r="A26" s="17">
        <v>3</v>
      </c>
      <c r="B26" s="18">
        <v>82006121</v>
      </c>
      <c r="C26" s="18">
        <v>14280.81</v>
      </c>
      <c r="D26" s="19">
        <v>0.99</v>
      </c>
      <c r="E26" s="19">
        <v>8.7899999999999991</v>
      </c>
    </row>
    <row r="27" spans="1:6" ht="16.5" customHeight="1" x14ac:dyDescent="0.3">
      <c r="A27" s="17">
        <v>4</v>
      </c>
      <c r="B27" s="18">
        <v>82102783</v>
      </c>
      <c r="C27" s="18">
        <v>14311.67</v>
      </c>
      <c r="D27" s="19">
        <v>0.99</v>
      </c>
      <c r="E27" s="19">
        <v>8.77</v>
      </c>
    </row>
    <row r="28" spans="1:6" ht="16.5" customHeight="1" x14ac:dyDescent="0.3">
      <c r="A28" s="17">
        <v>5</v>
      </c>
      <c r="B28" s="18">
        <v>81966540</v>
      </c>
      <c r="C28" s="18">
        <v>14373.63</v>
      </c>
      <c r="D28" s="19">
        <v>0.98</v>
      </c>
      <c r="E28" s="19">
        <v>8.77</v>
      </c>
    </row>
    <row r="29" spans="1:6" ht="16.5" customHeight="1" x14ac:dyDescent="0.3">
      <c r="A29" s="17">
        <v>6</v>
      </c>
      <c r="B29" s="21">
        <v>82155231</v>
      </c>
      <c r="C29" s="21">
        <v>14352.43</v>
      </c>
      <c r="D29" s="22">
        <v>0.97</v>
      </c>
      <c r="E29" s="22">
        <v>8.77</v>
      </c>
    </row>
    <row r="30" spans="1:6" ht="16.5" customHeight="1" x14ac:dyDescent="0.3">
      <c r="A30" s="23" t="s">
        <v>18</v>
      </c>
      <c r="B30" s="24">
        <f>AVERAGE(B24:B29)</f>
        <v>81933418</v>
      </c>
      <c r="C30" s="25">
        <f>AVERAGE(C24:C29)</f>
        <v>14319.998333333331</v>
      </c>
      <c r="D30" s="26">
        <f>AVERAGE(D24:D29)</f>
        <v>0.98166666666666658</v>
      </c>
      <c r="E30" s="26">
        <f>AVERAGE(E24:E29)</f>
        <v>8.7966666666666651</v>
      </c>
    </row>
    <row r="31" spans="1:6" ht="16.5" customHeight="1" x14ac:dyDescent="0.3">
      <c r="A31" s="27" t="s">
        <v>19</v>
      </c>
      <c r="B31" s="28">
        <f>(STDEV(B24:B29)/B30)</f>
        <v>2.6381195408754269E-3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132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</v>
      </c>
      <c r="C40" s="10"/>
      <c r="D40" s="10"/>
      <c r="E40" s="10"/>
    </row>
    <row r="41" spans="1:6" ht="16.5" customHeight="1" x14ac:dyDescent="0.3">
      <c r="A41" s="7" t="s">
        <v>8</v>
      </c>
      <c r="B41" s="12">
        <v>19.39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B41/25*4/100</f>
        <v>3.1024000000000003E-2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5434774</v>
      </c>
      <c r="C45" s="18">
        <v>5630.76</v>
      </c>
      <c r="D45" s="19">
        <v>1.62</v>
      </c>
      <c r="E45" s="20">
        <v>4.8899999999999997</v>
      </c>
    </row>
    <row r="46" spans="1:6" ht="16.5" customHeight="1" x14ac:dyDescent="0.3">
      <c r="A46" s="17">
        <v>2</v>
      </c>
      <c r="B46" s="18">
        <v>5426540</v>
      </c>
      <c r="C46" s="18">
        <v>5805.79</v>
      </c>
      <c r="D46" s="19">
        <v>1.6</v>
      </c>
      <c r="E46" s="19">
        <v>4.8899999999999997</v>
      </c>
    </row>
    <row r="47" spans="1:6" ht="16.5" customHeight="1" x14ac:dyDescent="0.3">
      <c r="A47" s="17">
        <v>3</v>
      </c>
      <c r="B47" s="18">
        <v>5425585</v>
      </c>
      <c r="C47" s="18">
        <v>5863.3</v>
      </c>
      <c r="D47" s="19">
        <v>1.57</v>
      </c>
      <c r="E47" s="19">
        <v>4.8899999999999997</v>
      </c>
    </row>
    <row r="48" spans="1:6" ht="16.5" customHeight="1" x14ac:dyDescent="0.3">
      <c r="A48" s="17">
        <v>4</v>
      </c>
      <c r="B48" s="18">
        <v>5421383</v>
      </c>
      <c r="C48" s="18">
        <v>5868.82</v>
      </c>
      <c r="D48" s="19">
        <v>1.61</v>
      </c>
      <c r="E48" s="19">
        <v>4.88</v>
      </c>
    </row>
    <row r="49" spans="1:7" ht="16.5" customHeight="1" x14ac:dyDescent="0.3">
      <c r="A49" s="17">
        <v>5</v>
      </c>
      <c r="B49" s="18">
        <v>5404460</v>
      </c>
      <c r="C49" s="18">
        <v>5893.2</v>
      </c>
      <c r="D49" s="19">
        <v>1.62</v>
      </c>
      <c r="E49" s="19">
        <v>4.88</v>
      </c>
    </row>
    <row r="50" spans="1:7" ht="16.5" customHeight="1" x14ac:dyDescent="0.3">
      <c r="A50" s="17">
        <v>6</v>
      </c>
      <c r="B50" s="21">
        <v>5412976</v>
      </c>
      <c r="C50" s="21">
        <v>5896.71</v>
      </c>
      <c r="D50" s="22">
        <v>1.6</v>
      </c>
      <c r="E50" s="22">
        <v>4.88</v>
      </c>
    </row>
    <row r="51" spans="1:7" ht="16.5" customHeight="1" x14ac:dyDescent="0.3">
      <c r="A51" s="23" t="s">
        <v>18</v>
      </c>
      <c r="B51" s="24">
        <f>AVERAGE(B45:B50)</f>
        <v>5420953</v>
      </c>
      <c r="C51" s="25">
        <f>AVERAGE(C45:C50)</f>
        <v>5826.43</v>
      </c>
      <c r="D51" s="26">
        <f>AVERAGE(D45:D50)</f>
        <v>1.6033333333333333</v>
      </c>
      <c r="E51" s="26">
        <f>AVERAGE(E45:E50)</f>
        <v>4.8849999999999989</v>
      </c>
    </row>
    <row r="52" spans="1:7" ht="16.5" customHeight="1" x14ac:dyDescent="0.3">
      <c r="A52" s="27" t="s">
        <v>19</v>
      </c>
      <c r="B52" s="28">
        <f>(STDEV(B45:B50)/B51)</f>
        <v>1.9859852116342392E-3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1" t="s">
        <v>25</v>
      </c>
      <c r="C59" s="47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5" workbookViewId="0">
      <selection activeCell="A39" sqref="A39"/>
    </sheetView>
  </sheetViews>
  <sheetFormatPr defaultRowHeight="15" x14ac:dyDescent="0.3"/>
  <cols>
    <col min="1" max="1" width="15.5703125" style="426" customWidth="1"/>
    <col min="2" max="2" width="18.42578125" style="426" customWidth="1"/>
    <col min="3" max="3" width="14.28515625" style="426" customWidth="1"/>
    <col min="4" max="4" width="15" style="426" customWidth="1"/>
    <col min="5" max="5" width="9.140625" style="426" customWidth="1"/>
    <col min="6" max="6" width="27.85546875" style="426" customWidth="1"/>
    <col min="7" max="7" width="12.28515625" style="426" customWidth="1"/>
    <col min="8" max="8" width="9.140625" style="426" customWidth="1"/>
    <col min="9" max="16384" width="9.140625" style="469"/>
  </cols>
  <sheetData>
    <row r="10" spans="1:7" ht="13.5" customHeight="1" thickBot="1" x14ac:dyDescent="0.35"/>
    <row r="11" spans="1:7" ht="13.5" customHeight="1" thickBot="1" x14ac:dyDescent="0.35">
      <c r="A11" s="477" t="s">
        <v>32</v>
      </c>
      <c r="B11" s="478"/>
      <c r="C11" s="478"/>
      <c r="D11" s="478"/>
      <c r="E11" s="478"/>
      <c r="F11" s="479"/>
      <c r="G11" s="427"/>
    </row>
    <row r="12" spans="1:7" ht="16.5" customHeight="1" x14ac:dyDescent="0.3">
      <c r="A12" s="473" t="s">
        <v>123</v>
      </c>
      <c r="B12" s="473"/>
      <c r="C12" s="473"/>
      <c r="D12" s="473"/>
      <c r="E12" s="473"/>
      <c r="F12" s="473"/>
      <c r="G12" s="428"/>
    </row>
    <row r="14" spans="1:7" ht="16.5" customHeight="1" x14ac:dyDescent="0.3">
      <c r="A14" s="472" t="s">
        <v>34</v>
      </c>
      <c r="B14" s="472"/>
      <c r="C14" s="429" t="s">
        <v>5</v>
      </c>
    </row>
    <row r="15" spans="1:7" ht="16.5" customHeight="1" x14ac:dyDescent="0.3">
      <c r="A15" s="472" t="s">
        <v>35</v>
      </c>
      <c r="B15" s="472"/>
      <c r="C15" s="429" t="s">
        <v>124</v>
      </c>
    </row>
    <row r="16" spans="1:7" ht="16.5" customHeight="1" x14ac:dyDescent="0.3">
      <c r="A16" s="472" t="s">
        <v>36</v>
      </c>
      <c r="B16" s="472"/>
      <c r="C16" s="429" t="s">
        <v>9</v>
      </c>
    </row>
    <row r="17" spans="1:5" ht="16.5" customHeight="1" x14ac:dyDescent="0.3">
      <c r="A17" s="472" t="s">
        <v>37</v>
      </c>
      <c r="B17" s="472"/>
      <c r="C17" s="429" t="s">
        <v>11</v>
      </c>
    </row>
    <row r="18" spans="1:5" ht="16.5" customHeight="1" x14ac:dyDescent="0.3">
      <c r="A18" s="472" t="s">
        <v>38</v>
      </c>
      <c r="B18" s="472"/>
      <c r="C18" s="430" t="s">
        <v>12</v>
      </c>
    </row>
    <row r="19" spans="1:5" ht="16.5" customHeight="1" x14ac:dyDescent="0.3">
      <c r="A19" s="472" t="s">
        <v>39</v>
      </c>
      <c r="B19" s="472"/>
      <c r="C19" s="430" t="e">
        <f>#REF!</f>
        <v>#REF!</v>
      </c>
    </row>
    <row r="20" spans="1:5" ht="16.5" customHeight="1" x14ac:dyDescent="0.3">
      <c r="A20" s="431"/>
      <c r="B20" s="431"/>
      <c r="C20" s="432"/>
    </row>
    <row r="21" spans="1:5" ht="16.5" customHeight="1" x14ac:dyDescent="0.3">
      <c r="A21" s="473" t="s">
        <v>1</v>
      </c>
      <c r="B21" s="473"/>
      <c r="C21" s="433" t="s">
        <v>125</v>
      </c>
      <c r="D21" s="434"/>
    </row>
    <row r="22" spans="1:5" ht="15.75" customHeight="1" thickBot="1" x14ac:dyDescent="0.35">
      <c r="A22" s="474"/>
      <c r="B22" s="474"/>
      <c r="C22" s="435"/>
      <c r="D22" s="474"/>
      <c r="E22" s="474"/>
    </row>
    <row r="23" spans="1:5" ht="33.75" customHeight="1" thickBot="1" x14ac:dyDescent="0.35">
      <c r="C23" s="436" t="s">
        <v>126</v>
      </c>
      <c r="D23" s="437" t="s">
        <v>127</v>
      </c>
      <c r="E23" s="438"/>
    </row>
    <row r="24" spans="1:5" ht="15.75" customHeight="1" x14ac:dyDescent="0.3">
      <c r="C24" s="439">
        <v>1044.76</v>
      </c>
      <c r="D24" s="440">
        <f t="shared" ref="D24:D43" si="0">(C24-$C$46)/$C$46</f>
        <v>-5.3660689082647064E-3</v>
      </c>
      <c r="E24" s="441"/>
    </row>
    <row r="25" spans="1:5" ht="15.75" customHeight="1" x14ac:dyDescent="0.3">
      <c r="C25" s="439">
        <v>1060.54</v>
      </c>
      <c r="D25" s="442">
        <f t="shared" si="0"/>
        <v>9.6568295876841778E-3</v>
      </c>
      <c r="E25" s="441"/>
    </row>
    <row r="26" spans="1:5" ht="15.75" customHeight="1" x14ac:dyDescent="0.3">
      <c r="C26" s="439">
        <v>1053.3399999999999</v>
      </c>
      <c r="D26" s="442">
        <f t="shared" si="0"/>
        <v>2.8022751408633387E-3</v>
      </c>
      <c r="E26" s="441"/>
    </row>
    <row r="27" spans="1:5" ht="15.75" customHeight="1" x14ac:dyDescent="0.3">
      <c r="C27" s="439">
        <v>1054.99</v>
      </c>
      <c r="D27" s="442">
        <f t="shared" si="0"/>
        <v>4.3731105349265244E-3</v>
      </c>
      <c r="E27" s="441"/>
    </row>
    <row r="28" spans="1:5" ht="15.75" customHeight="1" x14ac:dyDescent="0.3">
      <c r="C28" s="439">
        <v>1040.97</v>
      </c>
      <c r="D28" s="442">
        <f t="shared" si="0"/>
        <v>-8.9742302073550634E-3</v>
      </c>
      <c r="E28" s="441"/>
    </row>
    <row r="29" spans="1:5" ht="15.75" customHeight="1" x14ac:dyDescent="0.3">
      <c r="C29" s="439">
        <v>1058.45</v>
      </c>
      <c r="D29" s="442">
        <f t="shared" si="0"/>
        <v>7.6671047552043297E-3</v>
      </c>
      <c r="E29" s="441"/>
    </row>
    <row r="30" spans="1:5" ht="15.75" customHeight="1" x14ac:dyDescent="0.3">
      <c r="C30" s="439">
        <v>1048.8</v>
      </c>
      <c r="D30" s="442">
        <f t="shared" si="0"/>
        <v>-1.5199022464375172E-3</v>
      </c>
      <c r="E30" s="441"/>
    </row>
    <row r="31" spans="1:5" ht="15.75" customHeight="1" x14ac:dyDescent="0.3">
      <c r="C31" s="439">
        <v>1038.96</v>
      </c>
      <c r="D31" s="442">
        <f t="shared" si="0"/>
        <v>-1.0887793323759193E-2</v>
      </c>
      <c r="E31" s="441"/>
    </row>
    <row r="32" spans="1:5" ht="15.75" customHeight="1" x14ac:dyDescent="0.3">
      <c r="C32" s="439">
        <v>1050.06</v>
      </c>
      <c r="D32" s="442">
        <f t="shared" si="0"/>
        <v>-3.2035521824388654E-4</v>
      </c>
      <c r="E32" s="441"/>
    </row>
    <row r="33" spans="1:7" ht="15.75" customHeight="1" x14ac:dyDescent="0.3">
      <c r="C33" s="439">
        <v>1040.8399999999999</v>
      </c>
      <c r="D33" s="442">
        <f t="shared" si="0"/>
        <v>-9.0979929959783198E-3</v>
      </c>
      <c r="E33" s="441"/>
    </row>
    <row r="34" spans="1:7" ht="15.75" customHeight="1" x14ac:dyDescent="0.3">
      <c r="C34" s="439">
        <v>1041.77</v>
      </c>
      <c r="D34" s="442">
        <f t="shared" si="0"/>
        <v>-8.2126130465972405E-3</v>
      </c>
      <c r="E34" s="441"/>
    </row>
    <row r="35" spans="1:7" ht="15.75" customHeight="1" x14ac:dyDescent="0.3">
      <c r="C35" s="439">
        <v>1056.81</v>
      </c>
      <c r="D35" s="442">
        <f t="shared" si="0"/>
        <v>6.1057895756506091E-3</v>
      </c>
      <c r="E35" s="441"/>
    </row>
    <row r="36" spans="1:7" ht="15.75" customHeight="1" x14ac:dyDescent="0.3">
      <c r="C36" s="439">
        <v>1046.42</v>
      </c>
      <c r="D36" s="442">
        <f t="shared" si="0"/>
        <v>-3.7857132996920563E-3</v>
      </c>
      <c r="E36" s="441"/>
    </row>
    <row r="37" spans="1:7" ht="15.75" customHeight="1" x14ac:dyDescent="0.3">
      <c r="C37" s="439">
        <v>1055</v>
      </c>
      <c r="D37" s="442">
        <f t="shared" si="0"/>
        <v>4.3826307494359892E-3</v>
      </c>
      <c r="E37" s="441"/>
    </row>
    <row r="38" spans="1:7" ht="15.75" customHeight="1" x14ac:dyDescent="0.3">
      <c r="C38" s="439">
        <v>1049.97</v>
      </c>
      <c r="D38" s="442">
        <f t="shared" si="0"/>
        <v>-4.0603714882906858E-4</v>
      </c>
      <c r="E38" s="441"/>
    </row>
    <row r="39" spans="1:7" ht="15.75" customHeight="1" x14ac:dyDescent="0.3">
      <c r="C39" s="439">
        <v>1053.3699999999999</v>
      </c>
      <c r="D39" s="442">
        <f t="shared" si="0"/>
        <v>2.8308357843917329E-3</v>
      </c>
      <c r="E39" s="441"/>
    </row>
    <row r="40" spans="1:7" ht="15.75" customHeight="1" x14ac:dyDescent="0.3">
      <c r="C40" s="439">
        <v>1046.3900000000001</v>
      </c>
      <c r="D40" s="442">
        <f t="shared" si="0"/>
        <v>-3.8142739432204505E-3</v>
      </c>
      <c r="E40" s="441"/>
    </row>
    <row r="41" spans="1:7" ht="15.75" customHeight="1" x14ac:dyDescent="0.3">
      <c r="C41" s="439">
        <v>1059.1500000000001</v>
      </c>
      <c r="D41" s="442">
        <f t="shared" si="0"/>
        <v>8.3335197708675063E-3</v>
      </c>
      <c r="E41" s="441"/>
    </row>
    <row r="42" spans="1:7" ht="15.75" customHeight="1" x14ac:dyDescent="0.3">
      <c r="C42" s="439">
        <v>1061.05</v>
      </c>
      <c r="D42" s="442">
        <f t="shared" si="0"/>
        <v>1.0142360527667309E-2</v>
      </c>
      <c r="E42" s="441"/>
    </row>
    <row r="43" spans="1:7" ht="16.5" customHeight="1" thickBot="1" x14ac:dyDescent="0.35">
      <c r="C43" s="443">
        <v>1046.29</v>
      </c>
      <c r="D43" s="444">
        <f t="shared" si="0"/>
        <v>-3.9094760883153137E-3</v>
      </c>
      <c r="E43" s="441"/>
    </row>
    <row r="44" spans="1:7" ht="16.5" customHeight="1" thickBot="1" x14ac:dyDescent="0.35">
      <c r="C44" s="445"/>
      <c r="D44" s="441"/>
      <c r="E44" s="446"/>
    </row>
    <row r="45" spans="1:7" ht="16.5" customHeight="1" thickBot="1" x14ac:dyDescent="0.35">
      <c r="B45" s="447" t="s">
        <v>128</v>
      </c>
      <c r="C45" s="448">
        <f>SUM(C24:C44)</f>
        <v>21007.93</v>
      </c>
      <c r="D45" s="449"/>
      <c r="E45" s="445"/>
    </row>
    <row r="46" spans="1:7" ht="17.25" customHeight="1" thickBot="1" x14ac:dyDescent="0.35">
      <c r="B46" s="447" t="s">
        <v>129</v>
      </c>
      <c r="C46" s="450">
        <f>AVERAGE(C24:C44)</f>
        <v>1050.3965000000001</v>
      </c>
      <c r="E46" s="451"/>
    </row>
    <row r="47" spans="1:7" ht="17.25" customHeight="1" thickBot="1" x14ac:dyDescent="0.35">
      <c r="A47" s="429"/>
      <c r="B47" s="452"/>
      <c r="D47" s="453"/>
      <c r="E47" s="451"/>
    </row>
    <row r="48" spans="1:7" ht="33.75" customHeight="1" thickBot="1" x14ac:dyDescent="0.35">
      <c r="B48" s="454" t="s">
        <v>129</v>
      </c>
      <c r="C48" s="437" t="s">
        <v>130</v>
      </c>
      <c r="D48" s="455"/>
      <c r="G48" s="453"/>
    </row>
    <row r="49" spans="1:6" ht="17.25" customHeight="1" thickBot="1" x14ac:dyDescent="0.35">
      <c r="B49" s="475">
        <f>C46</f>
        <v>1050.3965000000001</v>
      </c>
      <c r="C49" s="456">
        <f>-IF(C46&lt;=80,10%,IF(C46&lt;250,7.5%,5%))</f>
        <v>-0.05</v>
      </c>
      <c r="D49" s="457">
        <f>IF(C46&lt;=80,C46*0.9,IF(C46&lt;250,C46*0.925,C46*0.95))</f>
        <v>997.87667499999998</v>
      </c>
    </row>
    <row r="50" spans="1:6" ht="17.25" customHeight="1" thickBot="1" x14ac:dyDescent="0.35">
      <c r="B50" s="476"/>
      <c r="C50" s="458">
        <f>IF(C46&lt;=80, 10%, IF(C46&lt;250, 7.5%, 5%))</f>
        <v>0.05</v>
      </c>
      <c r="D50" s="457">
        <f>IF(C46&lt;=80, C46*1.1, IF(C46&lt;250, C46*1.075, C46*1.05))</f>
        <v>1102.9163250000001</v>
      </c>
    </row>
    <row r="51" spans="1:6" ht="16.5" customHeight="1" thickBot="1" x14ac:dyDescent="0.35">
      <c r="A51" s="459"/>
      <c r="B51" s="460"/>
      <c r="C51" s="429"/>
      <c r="D51" s="461"/>
      <c r="E51" s="429"/>
      <c r="F51" s="434"/>
    </row>
    <row r="52" spans="1:6" ht="16.5" customHeight="1" x14ac:dyDescent="0.3">
      <c r="A52" s="429"/>
      <c r="B52" s="462" t="s">
        <v>25</v>
      </c>
      <c r="C52" s="462"/>
      <c r="D52" s="463" t="s">
        <v>26</v>
      </c>
      <c r="E52" s="464"/>
      <c r="F52" s="463" t="s">
        <v>27</v>
      </c>
    </row>
    <row r="53" spans="1:6" ht="34.5" customHeight="1" x14ac:dyDescent="0.3">
      <c r="A53" s="431" t="s">
        <v>28</v>
      </c>
      <c r="B53" s="465"/>
      <c r="C53" s="429"/>
      <c r="D53" s="465"/>
      <c r="E53" s="429"/>
      <c r="F53" s="465"/>
    </row>
    <row r="54" spans="1:6" ht="34.5" customHeight="1" x14ac:dyDescent="0.3">
      <c r="A54" s="431" t="s">
        <v>29</v>
      </c>
      <c r="B54" s="466"/>
      <c r="C54" s="467"/>
      <c r="D54" s="466"/>
      <c r="E54" s="429"/>
      <c r="F54" s="46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58" zoomScale="55" zoomScaleNormal="40" zoomScalePageLayoutView="55" workbookViewId="0">
      <selection activeCell="F104" sqref="F10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0" t="s">
        <v>30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31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x14ac:dyDescent="0.3">
      <c r="A15" s="52"/>
    </row>
    <row r="16" spans="1:9" ht="19.5" customHeight="1" x14ac:dyDescent="0.3">
      <c r="A16" s="483" t="s">
        <v>32</v>
      </c>
      <c r="B16" s="484"/>
      <c r="C16" s="484"/>
      <c r="D16" s="484"/>
      <c r="E16" s="484"/>
      <c r="F16" s="484"/>
      <c r="G16" s="484"/>
      <c r="H16" s="485"/>
    </row>
    <row r="17" spans="1:14" ht="20.25" customHeight="1" x14ac:dyDescent="0.25">
      <c r="A17" s="486" t="s">
        <v>33</v>
      </c>
      <c r="B17" s="486"/>
      <c r="C17" s="486"/>
      <c r="D17" s="486"/>
      <c r="E17" s="486"/>
      <c r="F17" s="486"/>
      <c r="G17" s="486"/>
      <c r="H17" s="486"/>
    </row>
    <row r="18" spans="1:14" ht="26.25" customHeight="1" x14ac:dyDescent="0.4">
      <c r="A18" s="54" t="s">
        <v>34</v>
      </c>
      <c r="B18" s="482" t="s">
        <v>5</v>
      </c>
      <c r="C18" s="482"/>
      <c r="D18" s="200"/>
      <c r="E18" s="55"/>
      <c r="F18" s="56"/>
      <c r="G18" s="56"/>
      <c r="H18" s="56"/>
    </row>
    <row r="19" spans="1:14" ht="26.25" customHeight="1" x14ac:dyDescent="0.4">
      <c r="A19" s="54" t="s">
        <v>35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36</v>
      </c>
      <c r="B20" s="487" t="s">
        <v>134</v>
      </c>
      <c r="C20" s="487"/>
      <c r="D20" s="56"/>
      <c r="E20" s="56"/>
      <c r="F20" s="56"/>
      <c r="G20" s="56"/>
      <c r="H20" s="56"/>
    </row>
    <row r="21" spans="1:14" ht="26.25" customHeight="1" x14ac:dyDescent="0.4">
      <c r="A21" s="54" t="s">
        <v>37</v>
      </c>
      <c r="B21" s="487" t="s">
        <v>11</v>
      </c>
      <c r="C21" s="487"/>
      <c r="D21" s="487"/>
      <c r="E21" s="487"/>
      <c r="F21" s="487"/>
      <c r="G21" s="487"/>
      <c r="H21" s="487"/>
      <c r="I21" s="58"/>
    </row>
    <row r="22" spans="1:14" ht="26.25" customHeight="1" x14ac:dyDescent="0.4">
      <c r="A22" s="54" t="s">
        <v>38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39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482" t="s">
        <v>131</v>
      </c>
      <c r="C26" s="482"/>
    </row>
    <row r="27" spans="1:14" ht="26.25" customHeight="1" x14ac:dyDescent="0.4">
      <c r="A27" s="63" t="s">
        <v>40</v>
      </c>
      <c r="B27" s="488" t="s">
        <v>133</v>
      </c>
      <c r="C27" s="488"/>
    </row>
    <row r="28" spans="1:14" ht="27" customHeight="1" x14ac:dyDescent="0.4">
      <c r="A28" s="63" t="s">
        <v>6</v>
      </c>
      <c r="B28" s="64">
        <v>99.02</v>
      </c>
    </row>
    <row r="29" spans="1:14" s="14" customFormat="1" ht="27" customHeight="1" x14ac:dyDescent="0.4">
      <c r="A29" s="63" t="s">
        <v>41</v>
      </c>
      <c r="B29" s="65">
        <v>0</v>
      </c>
      <c r="C29" s="489" t="s">
        <v>42</v>
      </c>
      <c r="D29" s="490"/>
      <c r="E29" s="490"/>
      <c r="F29" s="490"/>
      <c r="G29" s="491"/>
      <c r="I29" s="66"/>
      <c r="J29" s="66"/>
      <c r="K29" s="66"/>
      <c r="L29" s="66"/>
    </row>
    <row r="30" spans="1:14" s="14" customFormat="1" ht="19.5" customHeight="1" x14ac:dyDescent="0.3">
      <c r="A30" s="63" t="s">
        <v>43</v>
      </c>
      <c r="B30" s="67">
        <f>B28-B29</f>
        <v>99.02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44</v>
      </c>
      <c r="B31" s="70">
        <v>1</v>
      </c>
      <c r="C31" s="492" t="s">
        <v>45</v>
      </c>
      <c r="D31" s="493"/>
      <c r="E31" s="493"/>
      <c r="F31" s="493"/>
      <c r="G31" s="493"/>
      <c r="H31" s="494"/>
      <c r="I31" s="66"/>
      <c r="J31" s="66"/>
      <c r="K31" s="66"/>
      <c r="L31" s="66"/>
    </row>
    <row r="32" spans="1:14" s="14" customFormat="1" ht="27" customHeight="1" x14ac:dyDescent="0.4">
      <c r="A32" s="63" t="s">
        <v>46</v>
      </c>
      <c r="B32" s="70">
        <v>1</v>
      </c>
      <c r="C32" s="492" t="s">
        <v>47</v>
      </c>
      <c r="D32" s="493"/>
      <c r="E32" s="493"/>
      <c r="F32" s="493"/>
      <c r="G32" s="493"/>
      <c r="H32" s="494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48</v>
      </c>
      <c r="B34" s="75">
        <f>B31/B32</f>
        <v>1</v>
      </c>
      <c r="C34" s="53" t="s">
        <v>49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50</v>
      </c>
      <c r="B36" s="77">
        <v>100</v>
      </c>
      <c r="C36" s="53"/>
      <c r="D36" s="495" t="s">
        <v>51</v>
      </c>
      <c r="E36" s="496"/>
      <c r="F36" s="495" t="s">
        <v>52</v>
      </c>
      <c r="G36" s="497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53</v>
      </c>
      <c r="B37" s="79">
        <v>1</v>
      </c>
      <c r="C37" s="80" t="s">
        <v>54</v>
      </c>
      <c r="D37" s="81" t="s">
        <v>55</v>
      </c>
      <c r="E37" s="82" t="s">
        <v>56</v>
      </c>
      <c r="F37" s="81" t="s">
        <v>55</v>
      </c>
      <c r="G37" s="83" t="s">
        <v>56</v>
      </c>
      <c r="I37" s="84" t="s">
        <v>57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58</v>
      </c>
      <c r="B38" s="79">
        <v>1</v>
      </c>
      <c r="C38" s="85">
        <v>1</v>
      </c>
      <c r="D38" s="86">
        <v>81920709</v>
      </c>
      <c r="E38" s="87">
        <f>IF(ISBLANK(D38),"-",$D$48/$D$45*D38)</f>
        <v>78511485.152357891</v>
      </c>
      <c r="F38" s="86">
        <v>94414595</v>
      </c>
      <c r="G38" s="88">
        <f>IF(ISBLANK(F38),"-",$D$48/$F$45*F38)</f>
        <v>78395901.624200821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59</v>
      </c>
      <c r="B39" s="79">
        <v>1</v>
      </c>
      <c r="C39" s="90">
        <v>2</v>
      </c>
      <c r="D39" s="91">
        <v>81944443</v>
      </c>
      <c r="E39" s="92">
        <f>IF(ISBLANK(D39),"-",$D$48/$D$45*D39)</f>
        <v>78534231.434846804</v>
      </c>
      <c r="F39" s="91">
        <v>94790964</v>
      </c>
      <c r="G39" s="93">
        <f>IF(ISBLANK(F39),"-",$D$48/$F$45*F39)</f>
        <v>78708414.611185506</v>
      </c>
      <c r="I39" s="499">
        <f>ABS((F43/D43*D42)-F42)/D42</f>
        <v>5.9917565574991733E-4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60</v>
      </c>
      <c r="B40" s="79">
        <v>1</v>
      </c>
      <c r="C40" s="90">
        <v>3</v>
      </c>
      <c r="D40" s="91">
        <v>82331292</v>
      </c>
      <c r="E40" s="92">
        <f>IF(ISBLANK(D40),"-",$D$48/$D$45*D40)</f>
        <v>78904981.271981448</v>
      </c>
      <c r="F40" s="91">
        <v>94809607</v>
      </c>
      <c r="G40" s="93">
        <f>IF(ISBLANK(F40),"-",$D$48/$F$45*F40)</f>
        <v>78723894.57796374</v>
      </c>
      <c r="I40" s="499"/>
      <c r="L40" s="71"/>
      <c r="M40" s="71"/>
      <c r="N40" s="94"/>
    </row>
    <row r="41" spans="1:14" ht="27" customHeight="1" x14ac:dyDescent="0.4">
      <c r="A41" s="78" t="s">
        <v>61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62</v>
      </c>
      <c r="B42" s="79">
        <v>1</v>
      </c>
      <c r="C42" s="100" t="s">
        <v>63</v>
      </c>
      <c r="D42" s="101">
        <f>AVERAGE(D38:D41)</f>
        <v>82065481.333333328</v>
      </c>
      <c r="E42" s="102">
        <f>AVERAGE(E38:E41)</f>
        <v>78650232.619728714</v>
      </c>
      <c r="F42" s="101">
        <f>AVERAGE(F38:F41)</f>
        <v>94671722</v>
      </c>
      <c r="G42" s="103">
        <f>AVERAGE(G38:G41)</f>
        <v>78609403.604450017</v>
      </c>
      <c r="H42" s="104"/>
    </row>
    <row r="43" spans="1:14" ht="26.25" customHeight="1" x14ac:dyDescent="0.4">
      <c r="A43" s="78" t="s">
        <v>64</v>
      </c>
      <c r="B43" s="79">
        <v>1</v>
      </c>
      <c r="C43" s="105" t="s">
        <v>65</v>
      </c>
      <c r="D43" s="106">
        <v>16.86</v>
      </c>
      <c r="E43" s="94"/>
      <c r="F43" s="106">
        <v>19.46</v>
      </c>
      <c r="H43" s="104"/>
    </row>
    <row r="44" spans="1:14" ht="26.25" customHeight="1" x14ac:dyDescent="0.4">
      <c r="A44" s="78" t="s">
        <v>66</v>
      </c>
      <c r="B44" s="79">
        <v>1</v>
      </c>
      <c r="C44" s="107" t="s">
        <v>67</v>
      </c>
      <c r="D44" s="108">
        <f>D43*$B$34</f>
        <v>16.86</v>
      </c>
      <c r="E44" s="109"/>
      <c r="F44" s="108">
        <f>F43*$B$34</f>
        <v>19.46</v>
      </c>
      <c r="H44" s="104"/>
    </row>
    <row r="45" spans="1:14" ht="19.5" customHeight="1" x14ac:dyDescent="0.3">
      <c r="A45" s="78" t="s">
        <v>68</v>
      </c>
      <c r="B45" s="110">
        <f>(B44/B43)*(B42/B41)*(B40/B39)*(B38/B37)*B36</f>
        <v>100</v>
      </c>
      <c r="C45" s="107" t="s">
        <v>69</v>
      </c>
      <c r="D45" s="111">
        <f>D44*$B$30/100</f>
        <v>16.694771999999997</v>
      </c>
      <c r="E45" s="112"/>
      <c r="F45" s="111">
        <f>F44*$B$30/100</f>
        <v>19.269292</v>
      </c>
      <c r="H45" s="104"/>
    </row>
    <row r="46" spans="1:14" ht="19.5" customHeight="1" x14ac:dyDescent="0.3">
      <c r="A46" s="500" t="s">
        <v>70</v>
      </c>
      <c r="B46" s="501"/>
      <c r="C46" s="107" t="s">
        <v>71</v>
      </c>
      <c r="D46" s="113">
        <f>D45/$B$45</f>
        <v>0.16694771999999997</v>
      </c>
      <c r="E46" s="114"/>
      <c r="F46" s="115">
        <f>F45/$B$45</f>
        <v>0.19269291999999999</v>
      </c>
      <c r="H46" s="104"/>
    </row>
    <row r="47" spans="1:14" ht="27" customHeight="1" x14ac:dyDescent="0.4">
      <c r="A47" s="502"/>
      <c r="B47" s="503"/>
      <c r="C47" s="116" t="s">
        <v>72</v>
      </c>
      <c r="D47" s="117">
        <v>0.16</v>
      </c>
      <c r="E47" s="118"/>
      <c r="F47" s="114"/>
      <c r="H47" s="104"/>
    </row>
    <row r="48" spans="1:14" ht="18.75" x14ac:dyDescent="0.3">
      <c r="C48" s="119" t="s">
        <v>73</v>
      </c>
      <c r="D48" s="111">
        <f>D47*$B$45</f>
        <v>16</v>
      </c>
      <c r="F48" s="120"/>
      <c r="H48" s="104"/>
    </row>
    <row r="49" spans="1:12" ht="19.5" customHeight="1" x14ac:dyDescent="0.3">
      <c r="C49" s="121" t="s">
        <v>74</v>
      </c>
      <c r="D49" s="122">
        <f>D48/B34</f>
        <v>16</v>
      </c>
      <c r="F49" s="120"/>
      <c r="H49" s="104"/>
    </row>
    <row r="50" spans="1:12" ht="18.75" x14ac:dyDescent="0.3">
      <c r="C50" s="76" t="s">
        <v>75</v>
      </c>
      <c r="D50" s="123">
        <f>AVERAGE(E38:E41,G38:G41)</f>
        <v>78629818.112089381</v>
      </c>
      <c r="F50" s="124"/>
      <c r="H50" s="104"/>
    </row>
    <row r="51" spans="1:12" ht="18.75" x14ac:dyDescent="0.3">
      <c r="C51" s="78" t="s">
        <v>76</v>
      </c>
      <c r="D51" s="125">
        <f>STDEV(E38:E41,G38:G41)/D50</f>
        <v>2.335367326190811E-3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77</v>
      </c>
    </row>
    <row r="55" spans="1:12" ht="18.75" x14ac:dyDescent="0.3">
      <c r="A55" s="53" t="s">
        <v>78</v>
      </c>
      <c r="B55" s="130" t="str">
        <f>B21</f>
        <v>Each tablet contain Sulphamethoxazole B.P 800 mg and Trimethoprim B.P 160 mg.</v>
      </c>
    </row>
    <row r="56" spans="1:12" ht="26.25" customHeight="1" x14ac:dyDescent="0.4">
      <c r="A56" s="131" t="s">
        <v>79</v>
      </c>
      <c r="B56" s="132">
        <v>800</v>
      </c>
      <c r="C56" s="53" t="str">
        <f>B20</f>
        <v>Sulphamethoxazole 800 mg</v>
      </c>
      <c r="H56" s="133"/>
    </row>
    <row r="57" spans="1:12" ht="18.75" x14ac:dyDescent="0.3">
      <c r="A57" s="130" t="s">
        <v>80</v>
      </c>
      <c r="B57" s="201">
        <f>Uniformity!C46</f>
        <v>1050.3965000000001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81</v>
      </c>
      <c r="B59" s="77">
        <v>100</v>
      </c>
      <c r="C59" s="53"/>
      <c r="D59" s="134" t="s">
        <v>82</v>
      </c>
      <c r="E59" s="135" t="s">
        <v>54</v>
      </c>
      <c r="F59" s="135" t="s">
        <v>55</v>
      </c>
      <c r="G59" s="135" t="s">
        <v>83</v>
      </c>
      <c r="H59" s="80" t="s">
        <v>84</v>
      </c>
      <c r="L59" s="66"/>
    </row>
    <row r="60" spans="1:12" s="14" customFormat="1" ht="26.25" customHeight="1" x14ac:dyDescent="0.4">
      <c r="A60" s="78" t="s">
        <v>85</v>
      </c>
      <c r="B60" s="79">
        <v>2</v>
      </c>
      <c r="C60" s="504" t="s">
        <v>86</v>
      </c>
      <c r="D60" s="507">
        <v>1054.42</v>
      </c>
      <c r="E60" s="136">
        <v>1</v>
      </c>
      <c r="F60" s="137">
        <v>75505462</v>
      </c>
      <c r="G60" s="202">
        <f>IF(ISBLANK(F60),"-",(F60/$D$50*$D$47*$B$68)*($B$57/$D$60))</f>
        <v>765.28062154086797</v>
      </c>
      <c r="H60" s="220">
        <f t="shared" ref="H60:H71" si="0">IF(ISBLANK(F60),"-",(G60/$B$56)*100)</f>
        <v>95.660077692608496</v>
      </c>
      <c r="L60" s="66"/>
    </row>
    <row r="61" spans="1:12" s="14" customFormat="1" ht="26.25" customHeight="1" x14ac:dyDescent="0.4">
      <c r="A61" s="78" t="s">
        <v>87</v>
      </c>
      <c r="B61" s="79">
        <v>100</v>
      </c>
      <c r="C61" s="505"/>
      <c r="D61" s="508"/>
      <c r="E61" s="138">
        <v>2</v>
      </c>
      <c r="F61" s="91">
        <v>75211966</v>
      </c>
      <c r="G61" s="203">
        <f>IF(ISBLANK(F61),"-",(F61/$D$50*$D$47*$B$68)*($B$57/$D$60))</f>
        <v>762.30591222381543</v>
      </c>
      <c r="H61" s="221">
        <f t="shared" si="0"/>
        <v>95.288239027976928</v>
      </c>
      <c r="L61" s="66"/>
    </row>
    <row r="62" spans="1:12" s="14" customFormat="1" ht="26.25" customHeight="1" x14ac:dyDescent="0.4">
      <c r="A62" s="78" t="s">
        <v>88</v>
      </c>
      <c r="B62" s="79">
        <v>1</v>
      </c>
      <c r="C62" s="505"/>
      <c r="D62" s="508"/>
      <c r="E62" s="138">
        <v>3</v>
      </c>
      <c r="F62" s="139">
        <v>75702710</v>
      </c>
      <c r="G62" s="203">
        <f>IF(ISBLANK(F62),"-",(F62/$D$50*$D$47*$B$68)*($B$57/$D$60))</f>
        <v>767.27981561291676</v>
      </c>
      <c r="H62" s="221">
        <f t="shared" si="0"/>
        <v>95.909976951614595</v>
      </c>
      <c r="L62" s="66"/>
    </row>
    <row r="63" spans="1:12" ht="27" customHeight="1" x14ac:dyDescent="0.4">
      <c r="A63" s="78" t="s">
        <v>89</v>
      </c>
      <c r="B63" s="79">
        <v>1</v>
      </c>
      <c r="C63" s="506"/>
      <c r="D63" s="509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90</v>
      </c>
      <c r="B64" s="79">
        <v>1</v>
      </c>
      <c r="C64" s="504" t="s">
        <v>91</v>
      </c>
      <c r="D64" s="507">
        <v>1044.17</v>
      </c>
      <c r="E64" s="136">
        <v>1</v>
      </c>
      <c r="F64" s="137">
        <v>76994622</v>
      </c>
      <c r="G64" s="202">
        <f>IF(ISBLANK(F64),"-",(F64/$D$50*$D$47*$B$68)*($B$57/$D$64))</f>
        <v>788.03437391191187</v>
      </c>
      <c r="H64" s="220">
        <f t="shared" si="0"/>
        <v>98.504296738988984</v>
      </c>
    </row>
    <row r="65" spans="1:8" ht="26.25" customHeight="1" x14ac:dyDescent="0.4">
      <c r="A65" s="78" t="s">
        <v>92</v>
      </c>
      <c r="B65" s="79">
        <v>1</v>
      </c>
      <c r="C65" s="505"/>
      <c r="D65" s="508"/>
      <c r="E65" s="138">
        <v>2</v>
      </c>
      <c r="F65" s="91">
        <v>77267215</v>
      </c>
      <c r="G65" s="203">
        <f>IF(ISBLANK(F65),"-",(F65/$D$50*$D$47*$B$68)*($B$57/$D$64))</f>
        <v>790.82434350339543</v>
      </c>
      <c r="H65" s="221">
        <f t="shared" si="0"/>
        <v>98.853042937924428</v>
      </c>
    </row>
    <row r="66" spans="1:8" ht="26.25" customHeight="1" x14ac:dyDescent="0.4">
      <c r="A66" s="78" t="s">
        <v>93</v>
      </c>
      <c r="B66" s="79">
        <v>1</v>
      </c>
      <c r="C66" s="505"/>
      <c r="D66" s="508"/>
      <c r="E66" s="138">
        <v>3</v>
      </c>
      <c r="F66" s="91">
        <v>77437197</v>
      </c>
      <c r="G66" s="203">
        <f>IF(ISBLANK(F66),"-",(F66/$D$50*$D$47*$B$68)*($B$57/$D$64))</f>
        <v>792.56409694937372</v>
      </c>
      <c r="H66" s="221">
        <f t="shared" si="0"/>
        <v>99.070512118671715</v>
      </c>
    </row>
    <row r="67" spans="1:8" ht="27" customHeight="1" x14ac:dyDescent="0.4">
      <c r="A67" s="78" t="s">
        <v>94</v>
      </c>
      <c r="B67" s="79">
        <v>1</v>
      </c>
      <c r="C67" s="506"/>
      <c r="D67" s="509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95</v>
      </c>
      <c r="B68" s="142">
        <f>(B67/B66)*(B65/B64)*(B63/B62)*(B61/B60)*B59</f>
        <v>5000</v>
      </c>
      <c r="C68" s="504" t="s">
        <v>96</v>
      </c>
      <c r="D68" s="507">
        <v>1062.44</v>
      </c>
      <c r="E68" s="136">
        <v>1</v>
      </c>
      <c r="F68" s="137">
        <v>78287586</v>
      </c>
      <c r="G68" s="202">
        <f>IF(ISBLANK(F68),"-",(F68/$D$50*$D$47*$B$68)*($B$57/$D$68))</f>
        <v>787.48895369629997</v>
      </c>
      <c r="H68" s="221">
        <f t="shared" si="0"/>
        <v>98.436119212037497</v>
      </c>
    </row>
    <row r="69" spans="1:8" ht="27" customHeight="1" x14ac:dyDescent="0.4">
      <c r="A69" s="126" t="s">
        <v>97</v>
      </c>
      <c r="B69" s="143">
        <f>(D47*B68)/B56*B57</f>
        <v>1050.3965000000001</v>
      </c>
      <c r="C69" s="505"/>
      <c r="D69" s="508"/>
      <c r="E69" s="138">
        <v>2</v>
      </c>
      <c r="F69" s="91">
        <v>77961134</v>
      </c>
      <c r="G69" s="203">
        <f>IF(ISBLANK(F69),"-",(F69/$D$50*$D$47*$B$68)*($B$57/$D$68))</f>
        <v>784.20519752182724</v>
      </c>
      <c r="H69" s="221">
        <f t="shared" si="0"/>
        <v>98.025649690228406</v>
      </c>
    </row>
    <row r="70" spans="1:8" ht="26.25" customHeight="1" x14ac:dyDescent="0.4">
      <c r="A70" s="517" t="s">
        <v>70</v>
      </c>
      <c r="B70" s="518"/>
      <c r="C70" s="505"/>
      <c r="D70" s="508"/>
      <c r="E70" s="138">
        <v>3</v>
      </c>
      <c r="F70" s="91">
        <v>78442641</v>
      </c>
      <c r="G70" s="203">
        <f>IF(ISBLANK(F70),"-",(F70/$D$50*$D$47*$B$68)*($B$57/$D$68))</f>
        <v>789.04864030760211</v>
      </c>
      <c r="H70" s="221">
        <f t="shared" si="0"/>
        <v>98.631080038450264</v>
      </c>
    </row>
    <row r="71" spans="1:8" ht="27" customHeight="1" x14ac:dyDescent="0.4">
      <c r="A71" s="519"/>
      <c r="B71" s="520"/>
      <c r="C71" s="516"/>
      <c r="D71" s="509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63</v>
      </c>
      <c r="G72" s="208">
        <f>AVERAGE(G60:G71)</f>
        <v>780.78132836311227</v>
      </c>
      <c r="H72" s="223">
        <f>AVERAGE(H60:H71)</f>
        <v>97.597666045389033</v>
      </c>
    </row>
    <row r="73" spans="1:8" ht="26.25" customHeight="1" x14ac:dyDescent="0.4">
      <c r="C73" s="144"/>
      <c r="D73" s="144"/>
      <c r="E73" s="144"/>
      <c r="F73" s="147" t="s">
        <v>76</v>
      </c>
      <c r="G73" s="207">
        <f>STDEV(G60:G71)/G72</f>
        <v>1.556324430380978E-2</v>
      </c>
      <c r="H73" s="207">
        <f>STDEV(H60:H71)/H72</f>
        <v>1.556324430380978E-2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62" t="s">
        <v>98</v>
      </c>
      <c r="B76" s="151" t="s">
        <v>99</v>
      </c>
      <c r="C76" s="512" t="str">
        <f>B26</f>
        <v>Sulfamethoxazole</v>
      </c>
      <c r="D76" s="512"/>
      <c r="E76" s="152" t="s">
        <v>100</v>
      </c>
      <c r="F76" s="152"/>
      <c r="G76" s="153">
        <f>H72</f>
        <v>97.597666045389033</v>
      </c>
      <c r="H76" s="154"/>
    </row>
    <row r="77" spans="1:8" ht="18.75" x14ac:dyDescent="0.3">
      <c r="A77" s="61" t="s">
        <v>101</v>
      </c>
      <c r="B77" s="61" t="s">
        <v>102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498" t="str">
        <f>B26</f>
        <v>Sulfamethoxazole</v>
      </c>
      <c r="C79" s="498"/>
    </row>
    <row r="80" spans="1:8" ht="26.25" customHeight="1" x14ac:dyDescent="0.4">
      <c r="A80" s="63" t="s">
        <v>40</v>
      </c>
      <c r="B80" s="498" t="str">
        <f>B27</f>
        <v>S12 6</v>
      </c>
      <c r="C80" s="498"/>
    </row>
    <row r="81" spans="1:12" ht="27" customHeight="1" x14ac:dyDescent="0.4">
      <c r="A81" s="63" t="s">
        <v>6</v>
      </c>
      <c r="B81" s="155">
        <f>B28</f>
        <v>99.02</v>
      </c>
    </row>
    <row r="82" spans="1:12" s="14" customFormat="1" ht="27" customHeight="1" x14ac:dyDescent="0.4">
      <c r="A82" s="63" t="s">
        <v>41</v>
      </c>
      <c r="B82" s="65">
        <v>0</v>
      </c>
      <c r="C82" s="489" t="s">
        <v>42</v>
      </c>
      <c r="D82" s="490"/>
      <c r="E82" s="490"/>
      <c r="F82" s="490"/>
      <c r="G82" s="491"/>
      <c r="I82" s="66"/>
      <c r="J82" s="66"/>
      <c r="K82" s="66"/>
      <c r="L82" s="66"/>
    </row>
    <row r="83" spans="1:12" s="14" customFormat="1" ht="19.5" customHeight="1" x14ac:dyDescent="0.3">
      <c r="A83" s="63" t="s">
        <v>43</v>
      </c>
      <c r="B83" s="67">
        <f>B81-B82</f>
        <v>99.02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44</v>
      </c>
      <c r="B84" s="70">
        <v>154.46</v>
      </c>
      <c r="C84" s="492" t="s">
        <v>103</v>
      </c>
      <c r="D84" s="493"/>
      <c r="E84" s="493"/>
      <c r="F84" s="493"/>
      <c r="G84" s="493"/>
      <c r="H84" s="494"/>
      <c r="I84" s="66"/>
      <c r="J84" s="66"/>
      <c r="K84" s="66"/>
      <c r="L84" s="66"/>
    </row>
    <row r="85" spans="1:12" s="14" customFormat="1" ht="27" customHeight="1" x14ac:dyDescent="0.4">
      <c r="A85" s="63" t="s">
        <v>46</v>
      </c>
      <c r="B85" s="70">
        <v>165.23</v>
      </c>
      <c r="C85" s="492" t="s">
        <v>104</v>
      </c>
      <c r="D85" s="493"/>
      <c r="E85" s="493"/>
      <c r="F85" s="493"/>
      <c r="G85" s="493"/>
      <c r="H85" s="494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48</v>
      </c>
      <c r="B87" s="75">
        <f>B84/B85</f>
        <v>0.93481813230042976</v>
      </c>
      <c r="C87" s="53" t="s">
        <v>49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50</v>
      </c>
      <c r="B89" s="77">
        <v>25</v>
      </c>
      <c r="D89" s="156" t="s">
        <v>51</v>
      </c>
      <c r="E89" s="157"/>
      <c r="F89" s="495" t="s">
        <v>52</v>
      </c>
      <c r="G89" s="497"/>
    </row>
    <row r="90" spans="1:12" ht="27" customHeight="1" x14ac:dyDescent="0.4">
      <c r="A90" s="78" t="s">
        <v>53</v>
      </c>
      <c r="B90" s="79">
        <v>4</v>
      </c>
      <c r="C90" s="158" t="s">
        <v>54</v>
      </c>
      <c r="D90" s="81" t="s">
        <v>55</v>
      </c>
      <c r="E90" s="82" t="s">
        <v>56</v>
      </c>
      <c r="F90" s="81" t="s">
        <v>55</v>
      </c>
      <c r="G90" s="159" t="s">
        <v>56</v>
      </c>
      <c r="I90" s="84" t="s">
        <v>57</v>
      </c>
    </row>
    <row r="91" spans="1:12" ht="26.25" customHeight="1" x14ac:dyDescent="0.4">
      <c r="A91" s="78" t="s">
        <v>58</v>
      </c>
      <c r="B91" s="79">
        <v>200</v>
      </c>
      <c r="C91" s="160">
        <v>1</v>
      </c>
      <c r="D91" s="86"/>
      <c r="E91" s="87" t="str">
        <f>IF(ISBLANK(D91),"-",$D$101/$D$98*D91)</f>
        <v>-</v>
      </c>
      <c r="F91" s="86"/>
      <c r="G91" s="88" t="str">
        <f>IF(ISBLANK(F91),"-",$D$101/$F$98*F91)</f>
        <v>-</v>
      </c>
      <c r="I91" s="89"/>
    </row>
    <row r="92" spans="1:12" ht="26.25" customHeight="1" x14ac:dyDescent="0.4">
      <c r="A92" s="78" t="s">
        <v>59</v>
      </c>
      <c r="B92" s="79">
        <v>1</v>
      </c>
      <c r="C92" s="145">
        <v>2</v>
      </c>
      <c r="D92" s="91"/>
      <c r="E92" s="92" t="str">
        <f>IF(ISBLANK(D92),"-",$D$101/$D$98*D92)</f>
        <v>-</v>
      </c>
      <c r="F92" s="91"/>
      <c r="G92" s="93" t="str">
        <f>IF(ISBLANK(F92),"-",$D$101/$F$98*F92)</f>
        <v>-</v>
      </c>
      <c r="I92" s="499" t="e">
        <f>ABS((F96/D96*D95)-F95)/D95</f>
        <v>#DIV/0!</v>
      </c>
    </row>
    <row r="93" spans="1:12" ht="26.25" customHeight="1" x14ac:dyDescent="0.4">
      <c r="A93" s="78" t="s">
        <v>60</v>
      </c>
      <c r="B93" s="79">
        <v>1</v>
      </c>
      <c r="C93" s="145">
        <v>3</v>
      </c>
      <c r="D93" s="91"/>
      <c r="E93" s="92" t="str">
        <f>IF(ISBLANK(D93),"-",$D$101/$D$98*D93)</f>
        <v>-</v>
      </c>
      <c r="F93" s="91"/>
      <c r="G93" s="93" t="str">
        <f>IF(ISBLANK(F93),"-",$D$101/$F$98*F93)</f>
        <v>-</v>
      </c>
      <c r="I93" s="499"/>
    </row>
    <row r="94" spans="1:12" ht="27" customHeight="1" x14ac:dyDescent="0.4">
      <c r="A94" s="78" t="s">
        <v>61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62</v>
      </c>
      <c r="B95" s="79">
        <v>1</v>
      </c>
      <c r="C95" s="163" t="s">
        <v>63</v>
      </c>
      <c r="D95" s="164" t="e">
        <f>AVERAGE(D91:D94)</f>
        <v>#DIV/0!</v>
      </c>
      <c r="E95" s="102" t="e">
        <f>AVERAGE(E91:E94)</f>
        <v>#DIV/0!</v>
      </c>
      <c r="F95" s="165" t="e">
        <f>AVERAGE(F91:F94)</f>
        <v>#DIV/0!</v>
      </c>
      <c r="G95" s="166" t="e">
        <f>AVERAGE(G91:G94)</f>
        <v>#DIV/0!</v>
      </c>
    </row>
    <row r="96" spans="1:12" ht="26.25" customHeight="1" x14ac:dyDescent="0.4">
      <c r="A96" s="78" t="s">
        <v>64</v>
      </c>
      <c r="B96" s="64">
        <v>1</v>
      </c>
      <c r="C96" s="167" t="s">
        <v>105</v>
      </c>
      <c r="D96" s="168">
        <v>25.12</v>
      </c>
      <c r="E96" s="94"/>
      <c r="F96" s="106">
        <v>25.78</v>
      </c>
    </row>
    <row r="97" spans="1:10" ht="26.25" customHeight="1" x14ac:dyDescent="0.4">
      <c r="A97" s="78" t="s">
        <v>66</v>
      </c>
      <c r="B97" s="64">
        <v>1</v>
      </c>
      <c r="C97" s="169" t="s">
        <v>106</v>
      </c>
      <c r="D97" s="170">
        <f>D96*$B$87</f>
        <v>23.482631483386797</v>
      </c>
      <c r="E97" s="109"/>
      <c r="F97" s="108">
        <f>F96*$B$87</f>
        <v>24.09961145070508</v>
      </c>
    </row>
    <row r="98" spans="1:10" ht="19.5" customHeight="1" x14ac:dyDescent="0.3">
      <c r="A98" s="78" t="s">
        <v>68</v>
      </c>
      <c r="B98" s="171">
        <f>(B97/B96)*(B95/B94)*(B93/B92)*(B91/B90)*B89</f>
        <v>1250</v>
      </c>
      <c r="C98" s="169" t="s">
        <v>107</v>
      </c>
      <c r="D98" s="172">
        <f>D97*$B$83/100</f>
        <v>23.252501694849606</v>
      </c>
      <c r="E98" s="112"/>
      <c r="F98" s="111">
        <f>F97*$B$83/100</f>
        <v>23.86343525848817</v>
      </c>
    </row>
    <row r="99" spans="1:10" ht="19.5" customHeight="1" x14ac:dyDescent="0.3">
      <c r="A99" s="500" t="s">
        <v>70</v>
      </c>
      <c r="B99" s="514"/>
      <c r="C99" s="169" t="s">
        <v>108</v>
      </c>
      <c r="D99" s="173">
        <f>D98/$B$98</f>
        <v>1.8602001355879683E-2</v>
      </c>
      <c r="E99" s="112"/>
      <c r="F99" s="115">
        <f>F98/$B$98</f>
        <v>1.9090748206790537E-2</v>
      </c>
      <c r="G99" s="174"/>
      <c r="H99" s="104"/>
    </row>
    <row r="100" spans="1:10" ht="19.5" customHeight="1" x14ac:dyDescent="0.3">
      <c r="A100" s="502"/>
      <c r="B100" s="515"/>
      <c r="C100" s="169" t="s">
        <v>72</v>
      </c>
      <c r="D100" s="175">
        <f>$B$56/$B$116</f>
        <v>8.8888888888888892E-2</v>
      </c>
      <c r="F100" s="120"/>
      <c r="G100" s="176"/>
      <c r="H100" s="104"/>
    </row>
    <row r="101" spans="1:10" ht="18.75" x14ac:dyDescent="0.3">
      <c r="C101" s="169" t="s">
        <v>73</v>
      </c>
      <c r="D101" s="170">
        <f>D100*$B$98</f>
        <v>111.11111111111111</v>
      </c>
      <c r="F101" s="120"/>
      <c r="G101" s="174"/>
      <c r="H101" s="104"/>
    </row>
    <row r="102" spans="1:10" ht="19.5" customHeight="1" x14ac:dyDescent="0.3">
      <c r="C102" s="177" t="s">
        <v>74</v>
      </c>
      <c r="D102" s="178">
        <f>D101/B34</f>
        <v>111.11111111111111</v>
      </c>
      <c r="F102" s="124"/>
      <c r="G102" s="174"/>
      <c r="H102" s="104"/>
      <c r="J102" s="179"/>
    </row>
    <row r="103" spans="1:10" ht="18.75" x14ac:dyDescent="0.3">
      <c r="C103" s="180" t="s">
        <v>109</v>
      </c>
      <c r="D103" s="181" t="e">
        <f>AVERAGE(E91:E94,G91:G94)</f>
        <v>#DIV/0!</v>
      </c>
      <c r="F103" s="124"/>
      <c r="G103" s="182"/>
      <c r="H103" s="104"/>
      <c r="J103" s="183"/>
    </row>
    <row r="104" spans="1:10" ht="18.75" x14ac:dyDescent="0.3">
      <c r="C104" s="147" t="s">
        <v>76</v>
      </c>
      <c r="D104" s="184" t="e">
        <f>STDEV(E91:E94,G91:G94)/D103</f>
        <v>#DIV/0!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0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110</v>
      </c>
      <c r="B107" s="77">
        <v>900</v>
      </c>
      <c r="C107" s="224" t="s">
        <v>111</v>
      </c>
      <c r="D107" s="224" t="s">
        <v>55</v>
      </c>
      <c r="E107" s="224" t="s">
        <v>112</v>
      </c>
      <c r="F107" s="186" t="s">
        <v>113</v>
      </c>
    </row>
    <row r="108" spans="1:10" ht="26.25" customHeight="1" x14ac:dyDescent="0.4">
      <c r="A108" s="78" t="s">
        <v>114</v>
      </c>
      <c r="B108" s="79">
        <v>5</v>
      </c>
      <c r="C108" s="229">
        <v>1</v>
      </c>
      <c r="D108" s="230"/>
      <c r="E108" s="204" t="str">
        <f t="shared" ref="E108:E113" si="1">IF(ISBLANK(D108),"-",D108/$D$103*$D$100*$B$116)</f>
        <v>-</v>
      </c>
      <c r="F108" s="231" t="str">
        <f t="shared" ref="F108:F113" si="2">IF(ISBLANK(D108), "-", (E108/$B$56)*100)</f>
        <v>-</v>
      </c>
    </row>
    <row r="109" spans="1:10" ht="26.25" customHeight="1" x14ac:dyDescent="0.4">
      <c r="A109" s="78" t="s">
        <v>87</v>
      </c>
      <c r="B109" s="79">
        <v>50</v>
      </c>
      <c r="C109" s="225">
        <v>2</v>
      </c>
      <c r="D109" s="227"/>
      <c r="E109" s="205" t="str">
        <f t="shared" si="1"/>
        <v>-</v>
      </c>
      <c r="F109" s="232" t="str">
        <f t="shared" si="2"/>
        <v>-</v>
      </c>
    </row>
    <row r="110" spans="1:10" ht="26.25" customHeight="1" x14ac:dyDescent="0.4">
      <c r="A110" s="78" t="s">
        <v>88</v>
      </c>
      <c r="B110" s="79">
        <v>1</v>
      </c>
      <c r="C110" s="225">
        <v>3</v>
      </c>
      <c r="D110" s="227"/>
      <c r="E110" s="205" t="str">
        <f t="shared" si="1"/>
        <v>-</v>
      </c>
      <c r="F110" s="232" t="str">
        <f t="shared" si="2"/>
        <v>-</v>
      </c>
    </row>
    <row r="111" spans="1:10" ht="26.25" customHeight="1" x14ac:dyDescent="0.4">
      <c r="A111" s="78" t="s">
        <v>89</v>
      </c>
      <c r="B111" s="79">
        <v>1</v>
      </c>
      <c r="C111" s="225">
        <v>4</v>
      </c>
      <c r="D111" s="227"/>
      <c r="E111" s="205" t="str">
        <f t="shared" si="1"/>
        <v>-</v>
      </c>
      <c r="F111" s="232" t="str">
        <f t="shared" si="2"/>
        <v>-</v>
      </c>
    </row>
    <row r="112" spans="1:10" ht="26.25" customHeight="1" x14ac:dyDescent="0.4">
      <c r="A112" s="78" t="s">
        <v>90</v>
      </c>
      <c r="B112" s="79">
        <v>1</v>
      </c>
      <c r="C112" s="225">
        <v>5</v>
      </c>
      <c r="D112" s="227"/>
      <c r="E112" s="205" t="str">
        <f t="shared" si="1"/>
        <v>-</v>
      </c>
      <c r="F112" s="232" t="str">
        <f t="shared" si="2"/>
        <v>-</v>
      </c>
    </row>
    <row r="113" spans="1:10" ht="27" customHeight="1" x14ac:dyDescent="0.4">
      <c r="A113" s="78" t="s">
        <v>92</v>
      </c>
      <c r="B113" s="79">
        <v>1</v>
      </c>
      <c r="C113" s="226">
        <v>6</v>
      </c>
      <c r="D113" s="228"/>
      <c r="E113" s="206" t="str">
        <f t="shared" si="1"/>
        <v>-</v>
      </c>
      <c r="F113" s="233" t="str">
        <f t="shared" si="2"/>
        <v>-</v>
      </c>
    </row>
    <row r="114" spans="1:10" ht="27" customHeight="1" x14ac:dyDescent="0.4">
      <c r="A114" s="78" t="s">
        <v>93</v>
      </c>
      <c r="B114" s="79">
        <v>1</v>
      </c>
      <c r="C114" s="187"/>
      <c r="D114" s="145"/>
      <c r="E114" s="52"/>
      <c r="F114" s="234"/>
    </row>
    <row r="115" spans="1:10" ht="26.25" customHeight="1" x14ac:dyDescent="0.4">
      <c r="A115" s="78" t="s">
        <v>94</v>
      </c>
      <c r="B115" s="79">
        <v>1</v>
      </c>
      <c r="C115" s="187"/>
      <c r="D115" s="211" t="s">
        <v>63</v>
      </c>
      <c r="E115" s="213" t="e">
        <f>AVERAGE(E108:E113)</f>
        <v>#DIV/0!</v>
      </c>
      <c r="F115" s="235" t="e">
        <f>AVERAGE(F108:F113)</f>
        <v>#DIV/0!</v>
      </c>
    </row>
    <row r="116" spans="1:10" ht="27" customHeight="1" x14ac:dyDescent="0.4">
      <c r="A116" s="78" t="s">
        <v>95</v>
      </c>
      <c r="B116" s="110">
        <f>(B115/B114)*(B113/B112)*(B111/B110)*(B109/B108)*B107</f>
        <v>9000</v>
      </c>
      <c r="C116" s="188"/>
      <c r="D116" s="212" t="s">
        <v>76</v>
      </c>
      <c r="E116" s="210" t="e">
        <f>STDEV(E108:E113)/E115</f>
        <v>#DIV/0!</v>
      </c>
      <c r="F116" s="189" t="e">
        <f>STDEV(F108:F113)/F115</f>
        <v>#DIV/0!</v>
      </c>
      <c r="I116" s="52"/>
    </row>
    <row r="117" spans="1:10" ht="27" customHeight="1" x14ac:dyDescent="0.4">
      <c r="A117" s="500" t="s">
        <v>70</v>
      </c>
      <c r="B117" s="501"/>
      <c r="C117" s="190"/>
      <c r="D117" s="149" t="s">
        <v>20</v>
      </c>
      <c r="E117" s="215">
        <f>COUNT(E108:E113)</f>
        <v>0</v>
      </c>
      <c r="F117" s="216">
        <f>COUNT(F108:F113)</f>
        <v>0</v>
      </c>
      <c r="I117" s="52"/>
      <c r="J117" s="183"/>
    </row>
    <row r="118" spans="1:10" ht="26.25" customHeight="1" x14ac:dyDescent="0.3">
      <c r="A118" s="502"/>
      <c r="B118" s="503"/>
      <c r="C118" s="52"/>
      <c r="D118" s="214"/>
      <c r="E118" s="480" t="s">
        <v>115</v>
      </c>
      <c r="F118" s="481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116</v>
      </c>
      <c r="E119" s="217">
        <f>MIN(E108:E113)</f>
        <v>0</v>
      </c>
      <c r="F119" s="236">
        <f>MIN(F108:F113)</f>
        <v>0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117</v>
      </c>
      <c r="E120" s="218">
        <f>MAX(E108:E113)</f>
        <v>0</v>
      </c>
      <c r="F120" s="237">
        <f>MAX(F108:F113)</f>
        <v>0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98</v>
      </c>
      <c r="B124" s="151" t="s">
        <v>118</v>
      </c>
      <c r="C124" s="512" t="str">
        <f>B26</f>
        <v>Sulfamethoxazole</v>
      </c>
      <c r="D124" s="512"/>
      <c r="E124" s="152" t="s">
        <v>119</v>
      </c>
      <c r="F124" s="152"/>
      <c r="G124" s="238" t="e">
        <f>F115</f>
        <v>#DIV/0!</v>
      </c>
      <c r="H124" s="52"/>
      <c r="I124" s="52"/>
    </row>
    <row r="125" spans="1:10" ht="45.75" customHeight="1" x14ac:dyDescent="0.65">
      <c r="A125" s="62"/>
      <c r="B125" s="151" t="s">
        <v>120</v>
      </c>
      <c r="C125" s="63" t="s">
        <v>121</v>
      </c>
      <c r="D125" s="238">
        <f>MIN(F108:F113)</f>
        <v>0</v>
      </c>
      <c r="E125" s="163" t="s">
        <v>122</v>
      </c>
      <c r="F125" s="238">
        <f>MAX(F108:F113)</f>
        <v>0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513" t="s">
        <v>25</v>
      </c>
      <c r="C127" s="513"/>
      <c r="E127" s="158" t="s">
        <v>26</v>
      </c>
      <c r="F127" s="193"/>
      <c r="G127" s="513" t="s">
        <v>27</v>
      </c>
      <c r="H127" s="513"/>
    </row>
    <row r="128" spans="1:10" ht="69.95" customHeight="1" x14ac:dyDescent="0.3">
      <c r="A128" s="194" t="s">
        <v>28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29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83" zoomScale="55" zoomScaleNormal="40" zoomScalePageLayoutView="55" workbookViewId="0">
      <selection activeCell="D108" sqref="D108: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0" t="s">
        <v>30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31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x14ac:dyDescent="0.3">
      <c r="A15" s="239"/>
    </row>
    <row r="16" spans="1:9" ht="19.5" customHeight="1" x14ac:dyDescent="0.3">
      <c r="A16" s="483" t="s">
        <v>32</v>
      </c>
      <c r="B16" s="484"/>
      <c r="C16" s="484"/>
      <c r="D16" s="484"/>
      <c r="E16" s="484"/>
      <c r="F16" s="484"/>
      <c r="G16" s="484"/>
      <c r="H16" s="485"/>
    </row>
    <row r="17" spans="1:14" ht="20.25" customHeight="1" x14ac:dyDescent="0.25">
      <c r="A17" s="486" t="s">
        <v>33</v>
      </c>
      <c r="B17" s="486"/>
      <c r="C17" s="486"/>
      <c r="D17" s="486"/>
      <c r="E17" s="486"/>
      <c r="F17" s="486"/>
      <c r="G17" s="486"/>
      <c r="H17" s="486"/>
    </row>
    <row r="18" spans="1:14" ht="26.25" customHeight="1" x14ac:dyDescent="0.4">
      <c r="A18" s="241" t="s">
        <v>34</v>
      </c>
      <c r="B18" s="482" t="s">
        <v>5</v>
      </c>
      <c r="C18" s="482"/>
      <c r="D18" s="387"/>
      <c r="E18" s="242"/>
      <c r="F18" s="243"/>
      <c r="G18" s="243"/>
      <c r="H18" s="243"/>
    </row>
    <row r="19" spans="1:14" ht="26.25" customHeight="1" x14ac:dyDescent="0.4">
      <c r="A19" s="241" t="s">
        <v>35</v>
      </c>
      <c r="B19" s="244" t="s">
        <v>7</v>
      </c>
      <c r="C19" s="396">
        <v>1</v>
      </c>
      <c r="D19" s="243"/>
      <c r="E19" s="243"/>
      <c r="F19" s="243"/>
      <c r="G19" s="243"/>
      <c r="H19" s="243"/>
    </row>
    <row r="20" spans="1:14" ht="26.25" customHeight="1" x14ac:dyDescent="0.4">
      <c r="A20" s="241" t="s">
        <v>36</v>
      </c>
      <c r="B20" s="487" t="s">
        <v>136</v>
      </c>
      <c r="C20" s="487"/>
      <c r="D20" s="243"/>
      <c r="E20" s="243"/>
      <c r="F20" s="243"/>
      <c r="G20" s="243"/>
      <c r="H20" s="243"/>
    </row>
    <row r="21" spans="1:14" ht="26.25" customHeight="1" x14ac:dyDescent="0.4">
      <c r="A21" s="241" t="s">
        <v>37</v>
      </c>
      <c r="B21" s="487" t="s">
        <v>11</v>
      </c>
      <c r="C21" s="487"/>
      <c r="D21" s="487"/>
      <c r="E21" s="487"/>
      <c r="F21" s="487"/>
      <c r="G21" s="487"/>
      <c r="H21" s="487"/>
      <c r="I21" s="245"/>
    </row>
    <row r="22" spans="1:14" ht="26.25" customHeight="1" x14ac:dyDescent="0.4">
      <c r="A22" s="241" t="s">
        <v>38</v>
      </c>
      <c r="B22" s="246" t="s">
        <v>12</v>
      </c>
      <c r="C22" s="243"/>
      <c r="D22" s="243"/>
      <c r="E22" s="243"/>
      <c r="F22" s="243"/>
      <c r="G22" s="243"/>
      <c r="H22" s="243"/>
    </row>
    <row r="23" spans="1:14" ht="26.25" customHeight="1" x14ac:dyDescent="0.4">
      <c r="A23" s="241" t="s">
        <v>39</v>
      </c>
      <c r="B23" s="246"/>
      <c r="C23" s="243"/>
      <c r="D23" s="243"/>
      <c r="E23" s="243"/>
      <c r="F23" s="243"/>
      <c r="G23" s="243"/>
      <c r="H23" s="243"/>
    </row>
    <row r="24" spans="1:14" ht="18.75" x14ac:dyDescent="0.3">
      <c r="A24" s="241"/>
      <c r="B24" s="247"/>
    </row>
    <row r="25" spans="1:14" ht="18.75" x14ac:dyDescent="0.3">
      <c r="A25" s="248" t="s">
        <v>1</v>
      </c>
      <c r="B25" s="247"/>
    </row>
    <row r="26" spans="1:14" ht="26.25" customHeight="1" x14ac:dyDescent="0.4">
      <c r="A26" s="249" t="s">
        <v>4</v>
      </c>
      <c r="B26" s="482" t="s">
        <v>132</v>
      </c>
      <c r="C26" s="482"/>
    </row>
    <row r="27" spans="1:14" ht="26.25" customHeight="1" x14ac:dyDescent="0.4">
      <c r="A27" s="250" t="s">
        <v>40</v>
      </c>
      <c r="B27" s="488" t="s">
        <v>135</v>
      </c>
      <c r="C27" s="488"/>
    </row>
    <row r="28" spans="1:14" ht="27" customHeight="1" x14ac:dyDescent="0.4">
      <c r="A28" s="250" t="s">
        <v>6</v>
      </c>
      <c r="B28" s="251">
        <v>99.3</v>
      </c>
    </row>
    <row r="29" spans="1:14" s="14" customFormat="1" ht="27" customHeight="1" x14ac:dyDescent="0.4">
      <c r="A29" s="250" t="s">
        <v>41</v>
      </c>
      <c r="B29" s="252">
        <v>0</v>
      </c>
      <c r="C29" s="489" t="s">
        <v>42</v>
      </c>
      <c r="D29" s="490"/>
      <c r="E29" s="490"/>
      <c r="F29" s="490"/>
      <c r="G29" s="491"/>
      <c r="I29" s="253"/>
      <c r="J29" s="253"/>
      <c r="K29" s="253"/>
      <c r="L29" s="253"/>
    </row>
    <row r="30" spans="1:14" s="14" customFormat="1" ht="19.5" customHeight="1" x14ac:dyDescent="0.3">
      <c r="A30" s="250" t="s">
        <v>43</v>
      </c>
      <c r="B30" s="254">
        <f>B28-B29</f>
        <v>99.3</v>
      </c>
      <c r="C30" s="255"/>
      <c r="D30" s="255"/>
      <c r="E30" s="255"/>
      <c r="F30" s="255"/>
      <c r="G30" s="256"/>
      <c r="I30" s="253"/>
      <c r="J30" s="253"/>
      <c r="K30" s="253"/>
      <c r="L30" s="253"/>
    </row>
    <row r="31" spans="1:14" s="14" customFormat="1" ht="27" customHeight="1" x14ac:dyDescent="0.4">
      <c r="A31" s="250" t="s">
        <v>44</v>
      </c>
      <c r="B31" s="257">
        <v>1</v>
      </c>
      <c r="C31" s="492" t="s">
        <v>45</v>
      </c>
      <c r="D31" s="493"/>
      <c r="E31" s="493"/>
      <c r="F31" s="493"/>
      <c r="G31" s="493"/>
      <c r="H31" s="494"/>
      <c r="I31" s="253"/>
      <c r="J31" s="253"/>
      <c r="K31" s="253"/>
      <c r="L31" s="253"/>
    </row>
    <row r="32" spans="1:14" s="14" customFormat="1" ht="27" customHeight="1" x14ac:dyDescent="0.4">
      <c r="A32" s="250" t="s">
        <v>46</v>
      </c>
      <c r="B32" s="257">
        <v>1</v>
      </c>
      <c r="C32" s="492" t="s">
        <v>47</v>
      </c>
      <c r="D32" s="493"/>
      <c r="E32" s="493"/>
      <c r="F32" s="493"/>
      <c r="G32" s="493"/>
      <c r="H32" s="494"/>
      <c r="I32" s="253"/>
      <c r="J32" s="253"/>
      <c r="K32" s="253"/>
      <c r="L32" s="258"/>
      <c r="M32" s="258"/>
      <c r="N32" s="259"/>
    </row>
    <row r="33" spans="1:14" s="14" customFormat="1" ht="17.25" customHeight="1" x14ac:dyDescent="0.3">
      <c r="A33" s="250"/>
      <c r="B33" s="260"/>
      <c r="C33" s="261"/>
      <c r="D33" s="261"/>
      <c r="E33" s="261"/>
      <c r="F33" s="261"/>
      <c r="G33" s="261"/>
      <c r="H33" s="261"/>
      <c r="I33" s="253"/>
      <c r="J33" s="253"/>
      <c r="K33" s="253"/>
      <c r="L33" s="258"/>
      <c r="M33" s="258"/>
      <c r="N33" s="259"/>
    </row>
    <row r="34" spans="1:14" s="14" customFormat="1" ht="18.75" x14ac:dyDescent="0.3">
      <c r="A34" s="250" t="s">
        <v>48</v>
      </c>
      <c r="B34" s="262">
        <f>B31/B32</f>
        <v>1</v>
      </c>
      <c r="C34" s="240" t="s">
        <v>49</v>
      </c>
      <c r="D34" s="240"/>
      <c r="E34" s="240"/>
      <c r="F34" s="240"/>
      <c r="G34" s="240"/>
      <c r="I34" s="253"/>
      <c r="J34" s="253"/>
      <c r="K34" s="253"/>
      <c r="L34" s="258"/>
      <c r="M34" s="258"/>
      <c r="N34" s="259"/>
    </row>
    <row r="35" spans="1:14" s="14" customFormat="1" ht="19.5" customHeight="1" x14ac:dyDescent="0.3">
      <c r="A35" s="250"/>
      <c r="B35" s="254"/>
      <c r="G35" s="240"/>
      <c r="I35" s="253"/>
      <c r="J35" s="253"/>
      <c r="K35" s="253"/>
      <c r="L35" s="258"/>
      <c r="M35" s="258"/>
      <c r="N35" s="259"/>
    </row>
    <row r="36" spans="1:14" s="14" customFormat="1" ht="27" customHeight="1" x14ac:dyDescent="0.4">
      <c r="A36" s="263" t="s">
        <v>50</v>
      </c>
      <c r="B36" s="264">
        <v>25</v>
      </c>
      <c r="C36" s="240"/>
      <c r="D36" s="495" t="s">
        <v>51</v>
      </c>
      <c r="E36" s="496"/>
      <c r="F36" s="495" t="s">
        <v>52</v>
      </c>
      <c r="G36" s="497"/>
      <c r="J36" s="253"/>
      <c r="K36" s="253"/>
      <c r="L36" s="258"/>
      <c r="M36" s="258"/>
      <c r="N36" s="259"/>
    </row>
    <row r="37" spans="1:14" s="14" customFormat="1" ht="27" customHeight="1" x14ac:dyDescent="0.4">
      <c r="A37" s="265" t="s">
        <v>53</v>
      </c>
      <c r="B37" s="266">
        <v>4</v>
      </c>
      <c r="C37" s="267" t="s">
        <v>54</v>
      </c>
      <c r="D37" s="268" t="s">
        <v>55</v>
      </c>
      <c r="E37" s="269" t="s">
        <v>56</v>
      </c>
      <c r="F37" s="268" t="s">
        <v>55</v>
      </c>
      <c r="G37" s="270" t="s">
        <v>56</v>
      </c>
      <c r="I37" s="271" t="s">
        <v>57</v>
      </c>
      <c r="J37" s="253"/>
      <c r="K37" s="253"/>
      <c r="L37" s="258"/>
      <c r="M37" s="258"/>
      <c r="N37" s="259"/>
    </row>
    <row r="38" spans="1:14" s="14" customFormat="1" ht="26.25" customHeight="1" x14ac:dyDescent="0.4">
      <c r="A38" s="265" t="s">
        <v>58</v>
      </c>
      <c r="B38" s="266">
        <v>100</v>
      </c>
      <c r="C38" s="272">
        <v>1</v>
      </c>
      <c r="D38" s="273">
        <v>5387658</v>
      </c>
      <c r="E38" s="274">
        <f>IF(ISBLANK(D38),"-",$D$48/$D$45*D38)</f>
        <v>5596325.3865246521</v>
      </c>
      <c r="F38" s="273">
        <v>5992511</v>
      </c>
      <c r="G38" s="275">
        <f>IF(ISBLANK(F38),"-",$D$48/$F$45*F38)</f>
        <v>5671761.5413155239</v>
      </c>
      <c r="I38" s="276"/>
      <c r="J38" s="253"/>
      <c r="K38" s="253"/>
      <c r="L38" s="258"/>
      <c r="M38" s="258"/>
      <c r="N38" s="259"/>
    </row>
    <row r="39" spans="1:14" s="14" customFormat="1" ht="26.25" customHeight="1" x14ac:dyDescent="0.4">
      <c r="A39" s="265" t="s">
        <v>59</v>
      </c>
      <c r="B39" s="266">
        <v>1</v>
      </c>
      <c r="C39" s="277">
        <v>2</v>
      </c>
      <c r="D39" s="278">
        <v>5381229</v>
      </c>
      <c r="E39" s="279">
        <f>IF(ISBLANK(D39),"-",$D$48/$D$45*D39)</f>
        <v>5589647.3873068159</v>
      </c>
      <c r="F39" s="278">
        <v>6005588</v>
      </c>
      <c r="G39" s="280">
        <f>IF(ISBLANK(F39),"-",$D$48/$F$45*F39)</f>
        <v>5684138.5942196874</v>
      </c>
      <c r="I39" s="499">
        <f>ABS((F43/D43*D42)-F42)/D42</f>
        <v>1.5419815667580453E-2</v>
      </c>
      <c r="J39" s="253"/>
      <c r="K39" s="253"/>
      <c r="L39" s="258"/>
      <c r="M39" s="258"/>
      <c r="N39" s="259"/>
    </row>
    <row r="40" spans="1:14" ht="26.25" customHeight="1" x14ac:dyDescent="0.4">
      <c r="A40" s="265" t="s">
        <v>60</v>
      </c>
      <c r="B40" s="266">
        <v>1</v>
      </c>
      <c r="C40" s="277">
        <v>3</v>
      </c>
      <c r="D40" s="278">
        <v>5395598</v>
      </c>
      <c r="E40" s="279">
        <f>IF(ISBLANK(D40),"-",$D$48/$D$45*D40)</f>
        <v>5604572.9077238459</v>
      </c>
      <c r="F40" s="278">
        <v>5991239</v>
      </c>
      <c r="G40" s="280">
        <f>IF(ISBLANK(F40),"-",$D$48/$F$45*F40)</f>
        <v>5670557.6251807762</v>
      </c>
      <c r="I40" s="499"/>
      <c r="L40" s="258"/>
      <c r="M40" s="258"/>
      <c r="N40" s="281"/>
    </row>
    <row r="41" spans="1:14" ht="27" customHeight="1" x14ac:dyDescent="0.4">
      <c r="A41" s="265" t="s">
        <v>61</v>
      </c>
      <c r="B41" s="266">
        <v>1</v>
      </c>
      <c r="C41" s="282">
        <v>4</v>
      </c>
      <c r="D41" s="283"/>
      <c r="E41" s="284" t="str">
        <f>IF(ISBLANK(D41),"-",$D$48/$D$45*D41)</f>
        <v>-</v>
      </c>
      <c r="F41" s="283"/>
      <c r="G41" s="285" t="str">
        <f>IF(ISBLANK(F41),"-",$D$48/$F$45*F41)</f>
        <v>-</v>
      </c>
      <c r="I41" s="286"/>
      <c r="L41" s="258"/>
      <c r="M41" s="258"/>
      <c r="N41" s="281"/>
    </row>
    <row r="42" spans="1:14" ht="27" customHeight="1" x14ac:dyDescent="0.4">
      <c r="A42" s="265" t="s">
        <v>62</v>
      </c>
      <c r="B42" s="266">
        <v>1</v>
      </c>
      <c r="C42" s="287" t="s">
        <v>63</v>
      </c>
      <c r="D42" s="288">
        <f>AVERAGE(D38:D41)</f>
        <v>5388161.666666667</v>
      </c>
      <c r="E42" s="289">
        <f>AVERAGE(E38:E41)</f>
        <v>5596848.5605184389</v>
      </c>
      <c r="F42" s="288">
        <f>AVERAGE(F38:F41)</f>
        <v>5996446</v>
      </c>
      <c r="G42" s="290">
        <f>AVERAGE(G38:G41)</f>
        <v>5675485.9202386625</v>
      </c>
      <c r="H42" s="291"/>
    </row>
    <row r="43" spans="1:14" ht="26.25" customHeight="1" x14ac:dyDescent="0.4">
      <c r="A43" s="265" t="s">
        <v>64</v>
      </c>
      <c r="B43" s="266">
        <v>1</v>
      </c>
      <c r="C43" s="292" t="s">
        <v>65</v>
      </c>
      <c r="D43" s="293">
        <v>19.39</v>
      </c>
      <c r="E43" s="281"/>
      <c r="F43" s="293">
        <v>21.28</v>
      </c>
      <c r="H43" s="291"/>
    </row>
    <row r="44" spans="1:14" ht="26.25" customHeight="1" x14ac:dyDescent="0.4">
      <c r="A44" s="265" t="s">
        <v>66</v>
      </c>
      <c r="B44" s="266">
        <v>1</v>
      </c>
      <c r="C44" s="294" t="s">
        <v>67</v>
      </c>
      <c r="D44" s="295">
        <f>D43*$B$34</f>
        <v>19.39</v>
      </c>
      <c r="E44" s="296"/>
      <c r="F44" s="295">
        <f>F43*$B$34</f>
        <v>21.28</v>
      </c>
      <c r="H44" s="291"/>
    </row>
    <row r="45" spans="1:14" ht="19.5" customHeight="1" x14ac:dyDescent="0.3">
      <c r="A45" s="265" t="s">
        <v>68</v>
      </c>
      <c r="B45" s="297">
        <f>(B44/B43)*(B42/B41)*(B40/B39)*(B38/B37)*B36</f>
        <v>625</v>
      </c>
      <c r="C45" s="294" t="s">
        <v>69</v>
      </c>
      <c r="D45" s="298">
        <f>D44*$B$30/100</f>
        <v>19.254269999999998</v>
      </c>
      <c r="E45" s="299"/>
      <c r="F45" s="298">
        <f>F44*$B$30/100</f>
        <v>21.131040000000002</v>
      </c>
      <c r="H45" s="291"/>
    </row>
    <row r="46" spans="1:14" ht="19.5" customHeight="1" x14ac:dyDescent="0.3">
      <c r="A46" s="500" t="s">
        <v>70</v>
      </c>
      <c r="B46" s="501"/>
      <c r="C46" s="294" t="s">
        <v>71</v>
      </c>
      <c r="D46" s="300">
        <f>D45/$B$45</f>
        <v>3.0806831999999996E-2</v>
      </c>
      <c r="E46" s="301"/>
      <c r="F46" s="302">
        <f>F45/$B$45</f>
        <v>3.3809664000000003E-2</v>
      </c>
      <c r="H46" s="291"/>
    </row>
    <row r="47" spans="1:14" ht="27" customHeight="1" x14ac:dyDescent="0.4">
      <c r="A47" s="502"/>
      <c r="B47" s="503"/>
      <c r="C47" s="303" t="s">
        <v>72</v>
      </c>
      <c r="D47" s="304">
        <v>3.2000000000000001E-2</v>
      </c>
      <c r="E47" s="305"/>
      <c r="F47" s="301"/>
      <c r="H47" s="291"/>
    </row>
    <row r="48" spans="1:14" ht="18.75" x14ac:dyDescent="0.3">
      <c r="C48" s="306" t="s">
        <v>73</v>
      </c>
      <c r="D48" s="298">
        <f>D47*$B$45</f>
        <v>20</v>
      </c>
      <c r="F48" s="307"/>
      <c r="H48" s="291"/>
    </row>
    <row r="49" spans="1:12" ht="19.5" customHeight="1" x14ac:dyDescent="0.3">
      <c r="C49" s="308" t="s">
        <v>74</v>
      </c>
      <c r="D49" s="309">
        <f>D48/B34</f>
        <v>20</v>
      </c>
      <c r="F49" s="307"/>
      <c r="H49" s="291"/>
    </row>
    <row r="50" spans="1:12" ht="18.75" x14ac:dyDescent="0.3">
      <c r="C50" s="263" t="s">
        <v>75</v>
      </c>
      <c r="D50" s="310">
        <f>AVERAGE(E38:E41,G38:G41)</f>
        <v>5636167.2403785512</v>
      </c>
      <c r="F50" s="311"/>
      <c r="H50" s="291"/>
    </row>
    <row r="51" spans="1:12" ht="18.75" x14ac:dyDescent="0.3">
      <c r="C51" s="265" t="s">
        <v>76</v>
      </c>
      <c r="D51" s="312">
        <f>STDEV(E38:E41,G38:G41)/D50</f>
        <v>7.7340341208599582E-3</v>
      </c>
      <c r="F51" s="311"/>
      <c r="H51" s="291"/>
    </row>
    <row r="52" spans="1:12" ht="19.5" customHeight="1" x14ac:dyDescent="0.3">
      <c r="C52" s="313" t="s">
        <v>20</v>
      </c>
      <c r="D52" s="314">
        <f>COUNT(E38:E41,G38:G41)</f>
        <v>6</v>
      </c>
      <c r="F52" s="311"/>
    </row>
    <row r="54" spans="1:12" ht="18.75" x14ac:dyDescent="0.3">
      <c r="A54" s="315" t="s">
        <v>1</v>
      </c>
      <c r="B54" s="316" t="s">
        <v>77</v>
      </c>
    </row>
    <row r="55" spans="1:12" ht="18.75" x14ac:dyDescent="0.3">
      <c r="A55" s="240" t="s">
        <v>78</v>
      </c>
      <c r="B55" s="317" t="str">
        <f>B21</f>
        <v>Each tablet contain Sulphamethoxazole B.P 800 mg and Trimethoprim B.P 160 mg.</v>
      </c>
    </row>
    <row r="56" spans="1:12" ht="26.25" customHeight="1" x14ac:dyDescent="0.4">
      <c r="A56" s="318" t="s">
        <v>79</v>
      </c>
      <c r="B56" s="319">
        <v>160</v>
      </c>
      <c r="C56" s="240" t="str">
        <f>B20</f>
        <v xml:space="preserve"> Trimethoprim 160 mg</v>
      </c>
      <c r="H56" s="320"/>
    </row>
    <row r="57" spans="1:12" ht="18.75" x14ac:dyDescent="0.3">
      <c r="A57" s="317" t="s">
        <v>80</v>
      </c>
      <c r="B57" s="388">
        <f>Uniformity!C46</f>
        <v>1050.3965000000001</v>
      </c>
      <c r="H57" s="320"/>
    </row>
    <row r="58" spans="1:12" ht="19.5" customHeight="1" x14ac:dyDescent="0.3">
      <c r="H58" s="320"/>
    </row>
    <row r="59" spans="1:12" s="14" customFormat="1" ht="27" customHeight="1" thickBot="1" x14ac:dyDescent="0.45">
      <c r="A59" s="263" t="s">
        <v>81</v>
      </c>
      <c r="B59" s="264">
        <v>100</v>
      </c>
      <c r="C59" s="240"/>
      <c r="D59" s="321" t="s">
        <v>82</v>
      </c>
      <c r="E59" s="322" t="s">
        <v>54</v>
      </c>
      <c r="F59" s="322" t="s">
        <v>55</v>
      </c>
      <c r="G59" s="322" t="s">
        <v>83</v>
      </c>
      <c r="H59" s="267" t="s">
        <v>84</v>
      </c>
      <c r="L59" s="253"/>
    </row>
    <row r="60" spans="1:12" s="14" customFormat="1" ht="26.25" customHeight="1" x14ac:dyDescent="0.4">
      <c r="A60" s="265" t="s">
        <v>85</v>
      </c>
      <c r="B60" s="266">
        <v>2</v>
      </c>
      <c r="C60" s="504" t="s">
        <v>86</v>
      </c>
      <c r="D60" s="507">
        <v>1054.42</v>
      </c>
      <c r="E60" s="323">
        <v>1</v>
      </c>
      <c r="F60" s="324">
        <v>5669567</v>
      </c>
      <c r="G60" s="389">
        <f>IF(ISBLANK(F60),"-",(F60/$D$50*$D$47*$B$68)*($B$57/$D$60))</f>
        <v>160.33400253451094</v>
      </c>
      <c r="H60" s="407">
        <f t="shared" ref="H60:H71" si="0">IF(ISBLANK(F60),"-",(G60/$B$56)*100)</f>
        <v>100.20875158406935</v>
      </c>
      <c r="L60" s="253"/>
    </row>
    <row r="61" spans="1:12" s="14" customFormat="1" ht="26.25" customHeight="1" x14ac:dyDescent="0.4">
      <c r="A61" s="265" t="s">
        <v>87</v>
      </c>
      <c r="B61" s="266">
        <v>100</v>
      </c>
      <c r="C61" s="505"/>
      <c r="D61" s="508"/>
      <c r="E61" s="325">
        <v>2</v>
      </c>
      <c r="F61" s="278">
        <v>5637348</v>
      </c>
      <c r="G61" s="390">
        <f>IF(ISBLANK(F61),"-",(F61/$D$50*$D$47*$B$68)*($B$57/$D$60))</f>
        <v>159.4228568989343</v>
      </c>
      <c r="H61" s="408">
        <f t="shared" si="0"/>
        <v>99.63928556183393</v>
      </c>
      <c r="L61" s="253"/>
    </row>
    <row r="62" spans="1:12" s="14" customFormat="1" ht="26.25" customHeight="1" x14ac:dyDescent="0.4">
      <c r="A62" s="265" t="s">
        <v>88</v>
      </c>
      <c r="B62" s="266">
        <v>1</v>
      </c>
      <c r="C62" s="505"/>
      <c r="D62" s="508"/>
      <c r="E62" s="325">
        <v>3</v>
      </c>
      <c r="F62" s="326">
        <v>5658306</v>
      </c>
      <c r="G62" s="390">
        <f>IF(ISBLANK(F62),"-",(F62/$D$50*$D$47*$B$68)*($B$57/$D$60))</f>
        <v>160.01554414032648</v>
      </c>
      <c r="H62" s="408">
        <f t="shared" si="0"/>
        <v>100.00971508770404</v>
      </c>
      <c r="L62" s="253"/>
    </row>
    <row r="63" spans="1:12" ht="27" customHeight="1" thickBot="1" x14ac:dyDescent="0.45">
      <c r="A63" s="265" t="s">
        <v>89</v>
      </c>
      <c r="B63" s="266">
        <v>1</v>
      </c>
      <c r="C63" s="506"/>
      <c r="D63" s="509"/>
      <c r="E63" s="327">
        <v>4</v>
      </c>
      <c r="F63" s="328"/>
      <c r="G63" s="390" t="str">
        <f>IF(ISBLANK(F63),"-",(F63/$D$50*$D$47*$B$68)*($B$57/$D$60))</f>
        <v>-</v>
      </c>
      <c r="H63" s="408" t="str">
        <f t="shared" si="0"/>
        <v>-</v>
      </c>
    </row>
    <row r="64" spans="1:12" ht="26.25" customHeight="1" x14ac:dyDescent="0.4">
      <c r="A64" s="265" t="s">
        <v>90</v>
      </c>
      <c r="B64" s="266">
        <v>1</v>
      </c>
      <c r="C64" s="504" t="s">
        <v>91</v>
      </c>
      <c r="D64" s="507">
        <v>1044.17</v>
      </c>
      <c r="E64" s="323">
        <v>1</v>
      </c>
      <c r="F64" s="324">
        <v>5757078</v>
      </c>
      <c r="G64" s="389">
        <f>IF(ISBLANK(F64),"-",(F64/$D$50*$D$47*$B$68)*($B$57/$D$64))</f>
        <v>164.40699047441464</v>
      </c>
      <c r="H64" s="407">
        <f t="shared" si="0"/>
        <v>102.75436904650914</v>
      </c>
    </row>
    <row r="65" spans="1:8" ht="26.25" customHeight="1" x14ac:dyDescent="0.4">
      <c r="A65" s="265" t="s">
        <v>92</v>
      </c>
      <c r="B65" s="266">
        <v>1</v>
      </c>
      <c r="C65" s="505"/>
      <c r="D65" s="508"/>
      <c r="E65" s="325">
        <v>2</v>
      </c>
      <c r="F65" s="278">
        <v>5760533</v>
      </c>
      <c r="G65" s="390">
        <f>IF(ISBLANK(F65),"-",(F65/$D$50*$D$47*$B$68)*($B$57/$D$64))</f>
        <v>164.5056561781083</v>
      </c>
      <c r="H65" s="408">
        <f t="shared" si="0"/>
        <v>102.81603511131769</v>
      </c>
    </row>
    <row r="66" spans="1:8" ht="26.25" customHeight="1" x14ac:dyDescent="0.4">
      <c r="A66" s="265" t="s">
        <v>93</v>
      </c>
      <c r="B66" s="266">
        <v>1</v>
      </c>
      <c r="C66" s="505"/>
      <c r="D66" s="508"/>
      <c r="E66" s="325">
        <v>3</v>
      </c>
      <c r="F66" s="278">
        <v>5754931</v>
      </c>
      <c r="G66" s="390">
        <f>IF(ISBLANK(F66),"-",(F66/$D$50*$D$47*$B$68)*($B$57/$D$64))</f>
        <v>164.34567780702531</v>
      </c>
      <c r="H66" s="408">
        <f t="shared" si="0"/>
        <v>102.71604862939081</v>
      </c>
    </row>
    <row r="67" spans="1:8" ht="27" customHeight="1" thickBot="1" x14ac:dyDescent="0.45">
      <c r="A67" s="265" t="s">
        <v>94</v>
      </c>
      <c r="B67" s="266">
        <v>1</v>
      </c>
      <c r="C67" s="506"/>
      <c r="D67" s="509"/>
      <c r="E67" s="327">
        <v>4</v>
      </c>
      <c r="F67" s="328"/>
      <c r="G67" s="406" t="str">
        <f>IF(ISBLANK(F67),"-",(F67/$D$50*$D$47*$B$68)*($B$57/$D$64))</f>
        <v>-</v>
      </c>
      <c r="H67" s="409" t="str">
        <f t="shared" si="0"/>
        <v>-</v>
      </c>
    </row>
    <row r="68" spans="1:8" ht="26.25" customHeight="1" x14ac:dyDescent="0.4">
      <c r="A68" s="265" t="s">
        <v>95</v>
      </c>
      <c r="B68" s="329">
        <f>(B67/B66)*(B65/B64)*(B63/B62)*(B61/B60)*B59</f>
        <v>5000</v>
      </c>
      <c r="C68" s="504" t="s">
        <v>96</v>
      </c>
      <c r="D68" s="507">
        <v>1062.44</v>
      </c>
      <c r="E68" s="323">
        <v>1</v>
      </c>
      <c r="F68" s="324">
        <v>5930479</v>
      </c>
      <c r="G68" s="389">
        <f>IF(ISBLANK(F68),"-",(F68/$D$50*$D$47*$B$68)*($B$57/$D$68))</f>
        <v>166.44652652260726</v>
      </c>
      <c r="H68" s="408">
        <f t="shared" si="0"/>
        <v>104.02907907662953</v>
      </c>
    </row>
    <row r="69" spans="1:8" ht="27" customHeight="1" thickBot="1" x14ac:dyDescent="0.45">
      <c r="A69" s="313" t="s">
        <v>97</v>
      </c>
      <c r="B69" s="330">
        <f>(D47*B68)/B56*B57</f>
        <v>1050.3965000000001</v>
      </c>
      <c r="C69" s="505"/>
      <c r="D69" s="508"/>
      <c r="E69" s="325">
        <v>2</v>
      </c>
      <c r="F69" s="278">
        <v>5894184</v>
      </c>
      <c r="G69" s="390">
        <f>IF(ISBLANK(F69),"-",(F69/$D$50*$D$47*$B$68)*($B$57/$D$68))</f>
        <v>165.42786063067206</v>
      </c>
      <c r="H69" s="408">
        <f t="shared" si="0"/>
        <v>103.39241289417002</v>
      </c>
    </row>
    <row r="70" spans="1:8" ht="26.25" customHeight="1" x14ac:dyDescent="0.4">
      <c r="A70" s="517" t="s">
        <v>70</v>
      </c>
      <c r="B70" s="518"/>
      <c r="C70" s="505"/>
      <c r="D70" s="508"/>
      <c r="E70" s="325">
        <v>3</v>
      </c>
      <c r="F70" s="278">
        <v>5919319</v>
      </c>
      <c r="G70" s="390">
        <f>IF(ISBLANK(F70),"-",(F70/$D$50*$D$47*$B$68)*($B$57/$D$68))</f>
        <v>166.13330675806682</v>
      </c>
      <c r="H70" s="408">
        <f t="shared" si="0"/>
        <v>103.83331672379177</v>
      </c>
    </row>
    <row r="71" spans="1:8" ht="27" customHeight="1" thickBot="1" x14ac:dyDescent="0.45">
      <c r="A71" s="519"/>
      <c r="B71" s="520"/>
      <c r="C71" s="516"/>
      <c r="D71" s="509"/>
      <c r="E71" s="327">
        <v>4</v>
      </c>
      <c r="F71" s="328"/>
      <c r="G71" s="406" t="str">
        <f>IF(ISBLANK(F71),"-",(F71/$D$50*$D$47*$B$68)*($B$57/$D$68))</f>
        <v>-</v>
      </c>
      <c r="H71" s="409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63</v>
      </c>
      <c r="G72" s="395">
        <f>AVERAGE(G60:G71)</f>
        <v>163.44871354940733</v>
      </c>
      <c r="H72" s="410">
        <f>AVERAGE(H60:H71)</f>
        <v>102.15544596837957</v>
      </c>
    </row>
    <row r="73" spans="1:8" ht="26.25" customHeight="1" x14ac:dyDescent="0.4">
      <c r="C73" s="331"/>
      <c r="D73" s="331"/>
      <c r="E73" s="331"/>
      <c r="F73" s="334" t="s">
        <v>76</v>
      </c>
      <c r="G73" s="394">
        <f>STDEV(G60:G71)/G72</f>
        <v>1.6845209450875413E-2</v>
      </c>
      <c r="H73" s="394">
        <f>STDEV(H60:H71)/H72</f>
        <v>1.6845209450875417E-2</v>
      </c>
    </row>
    <row r="74" spans="1:8" ht="27" customHeight="1" x14ac:dyDescent="0.4">
      <c r="A74" s="331"/>
      <c r="B74" s="331"/>
      <c r="C74" s="332"/>
      <c r="D74" s="332"/>
      <c r="E74" s="335"/>
      <c r="F74" s="336" t="s">
        <v>20</v>
      </c>
      <c r="G74" s="337">
        <f>COUNT(G60:G71)</f>
        <v>9</v>
      </c>
      <c r="H74" s="337">
        <f>COUNT(H60:H71)</f>
        <v>9</v>
      </c>
    </row>
    <row r="76" spans="1:8" ht="26.25" customHeight="1" x14ac:dyDescent="0.4">
      <c r="A76" s="249" t="s">
        <v>98</v>
      </c>
      <c r="B76" s="338" t="s">
        <v>99</v>
      </c>
      <c r="C76" s="512" t="str">
        <f>B26</f>
        <v>Trimethoprim</v>
      </c>
      <c r="D76" s="512"/>
      <c r="E76" s="339" t="s">
        <v>100</v>
      </c>
      <c r="F76" s="339"/>
      <c r="G76" s="340">
        <f>H72</f>
        <v>102.15544596837957</v>
      </c>
      <c r="H76" s="341"/>
    </row>
    <row r="77" spans="1:8" ht="18.75" x14ac:dyDescent="0.3">
      <c r="A77" s="248" t="s">
        <v>101</v>
      </c>
      <c r="B77" s="248" t="s">
        <v>102</v>
      </c>
    </row>
    <row r="78" spans="1:8" ht="18.75" x14ac:dyDescent="0.3">
      <c r="A78" s="248"/>
      <c r="B78" s="248"/>
    </row>
    <row r="79" spans="1:8" ht="26.25" customHeight="1" x14ac:dyDescent="0.4">
      <c r="A79" s="249" t="s">
        <v>4</v>
      </c>
      <c r="B79" s="498" t="str">
        <f>B26</f>
        <v>Trimethoprim</v>
      </c>
      <c r="C79" s="498"/>
    </row>
    <row r="80" spans="1:8" ht="26.25" customHeight="1" x14ac:dyDescent="0.4">
      <c r="A80" s="250" t="s">
        <v>40</v>
      </c>
      <c r="B80" s="498" t="str">
        <f>B27</f>
        <v>T7 4</v>
      </c>
      <c r="C80" s="498"/>
    </row>
    <row r="81" spans="1:12" ht="27" customHeight="1" x14ac:dyDescent="0.4">
      <c r="A81" s="250" t="s">
        <v>6</v>
      </c>
      <c r="B81" s="342">
        <f>B28</f>
        <v>99.3</v>
      </c>
    </row>
    <row r="82" spans="1:12" s="14" customFormat="1" ht="27" customHeight="1" x14ac:dyDescent="0.4">
      <c r="A82" s="250" t="s">
        <v>41</v>
      </c>
      <c r="B82" s="252">
        <v>0</v>
      </c>
      <c r="C82" s="489" t="s">
        <v>42</v>
      </c>
      <c r="D82" s="490"/>
      <c r="E82" s="490"/>
      <c r="F82" s="490"/>
      <c r="G82" s="491"/>
      <c r="I82" s="253"/>
      <c r="J82" s="253"/>
      <c r="K82" s="253"/>
      <c r="L82" s="253"/>
    </row>
    <row r="83" spans="1:12" s="14" customFormat="1" ht="19.5" customHeight="1" x14ac:dyDescent="0.3">
      <c r="A83" s="250" t="s">
        <v>43</v>
      </c>
      <c r="B83" s="254">
        <f>B81-B82</f>
        <v>99.3</v>
      </c>
      <c r="C83" s="255"/>
      <c r="D83" s="255"/>
      <c r="E83" s="255"/>
      <c r="F83" s="255"/>
      <c r="G83" s="256"/>
      <c r="I83" s="253"/>
      <c r="J83" s="253"/>
      <c r="K83" s="253"/>
      <c r="L83" s="253"/>
    </row>
    <row r="84" spans="1:12" s="14" customFormat="1" ht="27" customHeight="1" x14ac:dyDescent="0.4">
      <c r="A84" s="250" t="s">
        <v>44</v>
      </c>
      <c r="B84" s="257">
        <v>154.46</v>
      </c>
      <c r="C84" s="492" t="s">
        <v>103</v>
      </c>
      <c r="D84" s="493"/>
      <c r="E84" s="493"/>
      <c r="F84" s="493"/>
      <c r="G84" s="493"/>
      <c r="H84" s="494"/>
      <c r="I84" s="253"/>
      <c r="J84" s="253"/>
      <c r="K84" s="253"/>
      <c r="L84" s="253"/>
    </row>
    <row r="85" spans="1:12" s="14" customFormat="1" ht="27" customHeight="1" x14ac:dyDescent="0.4">
      <c r="A85" s="250" t="s">
        <v>46</v>
      </c>
      <c r="B85" s="257">
        <v>165.23</v>
      </c>
      <c r="C85" s="492" t="s">
        <v>104</v>
      </c>
      <c r="D85" s="493"/>
      <c r="E85" s="493"/>
      <c r="F85" s="493"/>
      <c r="G85" s="493"/>
      <c r="H85" s="494"/>
      <c r="I85" s="253"/>
      <c r="J85" s="253"/>
      <c r="K85" s="253"/>
      <c r="L85" s="253"/>
    </row>
    <row r="86" spans="1:12" s="14" customFormat="1" ht="18.75" x14ac:dyDescent="0.3">
      <c r="A86" s="250"/>
      <c r="B86" s="260"/>
      <c r="C86" s="261"/>
      <c r="D86" s="261"/>
      <c r="E86" s="261"/>
      <c r="F86" s="261"/>
      <c r="G86" s="261"/>
      <c r="H86" s="261"/>
      <c r="I86" s="253"/>
      <c r="J86" s="253"/>
      <c r="K86" s="253"/>
      <c r="L86" s="253"/>
    </row>
    <row r="87" spans="1:12" s="14" customFormat="1" ht="18.75" x14ac:dyDescent="0.3">
      <c r="A87" s="250" t="s">
        <v>48</v>
      </c>
      <c r="B87" s="262">
        <f>B84/B85</f>
        <v>0.93481813230042976</v>
      </c>
      <c r="C87" s="240" t="s">
        <v>49</v>
      </c>
      <c r="D87" s="240"/>
      <c r="E87" s="240"/>
      <c r="F87" s="240"/>
      <c r="G87" s="240"/>
      <c r="I87" s="253"/>
      <c r="J87" s="253"/>
      <c r="K87" s="253"/>
      <c r="L87" s="253"/>
    </row>
    <row r="88" spans="1:12" ht="19.5" customHeight="1" x14ac:dyDescent="0.3">
      <c r="A88" s="248"/>
      <c r="B88" s="248"/>
    </row>
    <row r="89" spans="1:12" ht="27" customHeight="1" x14ac:dyDescent="0.4">
      <c r="A89" s="263" t="s">
        <v>50</v>
      </c>
      <c r="B89" s="264">
        <v>25</v>
      </c>
      <c r="D89" s="343" t="s">
        <v>51</v>
      </c>
      <c r="E89" s="344"/>
      <c r="F89" s="495" t="s">
        <v>52</v>
      </c>
      <c r="G89" s="497"/>
    </row>
    <row r="90" spans="1:12" ht="27" customHeight="1" x14ac:dyDescent="0.4">
      <c r="A90" s="265" t="s">
        <v>53</v>
      </c>
      <c r="B90" s="266">
        <v>4</v>
      </c>
      <c r="C90" s="345" t="s">
        <v>54</v>
      </c>
      <c r="D90" s="268" t="s">
        <v>55</v>
      </c>
      <c r="E90" s="269" t="s">
        <v>56</v>
      </c>
      <c r="F90" s="268" t="s">
        <v>55</v>
      </c>
      <c r="G90" s="346" t="s">
        <v>56</v>
      </c>
      <c r="I90" s="271" t="s">
        <v>57</v>
      </c>
    </row>
    <row r="91" spans="1:12" ht="26.25" customHeight="1" x14ac:dyDescent="0.4">
      <c r="A91" s="265" t="s">
        <v>58</v>
      </c>
      <c r="B91" s="266">
        <v>200</v>
      </c>
      <c r="C91" s="347">
        <v>1</v>
      </c>
      <c r="D91" s="273"/>
      <c r="E91" s="274" t="str">
        <f>IF(ISBLANK(D91),"-",$D$101/$D$98*D91)</f>
        <v>-</v>
      </c>
      <c r="F91" s="273"/>
      <c r="G91" s="275" t="str">
        <f>IF(ISBLANK(F91),"-",$D$101/$F$98*F91)</f>
        <v>-</v>
      </c>
      <c r="I91" s="276"/>
    </row>
    <row r="92" spans="1:12" ht="26.25" customHeight="1" x14ac:dyDescent="0.4">
      <c r="A92" s="265" t="s">
        <v>59</v>
      </c>
      <c r="B92" s="266">
        <v>1</v>
      </c>
      <c r="C92" s="332">
        <v>2</v>
      </c>
      <c r="D92" s="278"/>
      <c r="E92" s="279" t="str">
        <f>IF(ISBLANK(D92),"-",$D$101/$D$98*D92)</f>
        <v>-</v>
      </c>
      <c r="F92" s="278"/>
      <c r="G92" s="280" t="str">
        <f>IF(ISBLANK(F92),"-",$D$101/$F$98*F92)</f>
        <v>-</v>
      </c>
      <c r="I92" s="499" t="e">
        <f>ABS((F96/D96*D95)-F95)/D95</f>
        <v>#DIV/0!</v>
      </c>
    </row>
    <row r="93" spans="1:12" ht="26.25" customHeight="1" x14ac:dyDescent="0.4">
      <c r="A93" s="265" t="s">
        <v>60</v>
      </c>
      <c r="B93" s="266">
        <v>1</v>
      </c>
      <c r="C93" s="332">
        <v>3</v>
      </c>
      <c r="D93" s="278"/>
      <c r="E93" s="279" t="str">
        <f>IF(ISBLANK(D93),"-",$D$101/$D$98*D93)</f>
        <v>-</v>
      </c>
      <c r="F93" s="278"/>
      <c r="G93" s="280" t="str">
        <f>IF(ISBLANK(F93),"-",$D$101/$F$98*F93)</f>
        <v>-</v>
      </c>
      <c r="I93" s="499"/>
    </row>
    <row r="94" spans="1:12" ht="27" customHeight="1" x14ac:dyDescent="0.4">
      <c r="A94" s="265" t="s">
        <v>61</v>
      </c>
      <c r="B94" s="266">
        <v>1</v>
      </c>
      <c r="C94" s="348">
        <v>4</v>
      </c>
      <c r="D94" s="283"/>
      <c r="E94" s="284" t="str">
        <f>IF(ISBLANK(D94),"-",$D$101/$D$98*D94)</f>
        <v>-</v>
      </c>
      <c r="F94" s="349"/>
      <c r="G94" s="285" t="str">
        <f>IF(ISBLANK(F94),"-",$D$101/$F$98*F94)</f>
        <v>-</v>
      </c>
      <c r="I94" s="286"/>
    </row>
    <row r="95" spans="1:12" ht="27" customHeight="1" x14ac:dyDescent="0.4">
      <c r="A95" s="265" t="s">
        <v>62</v>
      </c>
      <c r="B95" s="266">
        <v>1</v>
      </c>
      <c r="C95" s="350" t="s">
        <v>63</v>
      </c>
      <c r="D95" s="351" t="e">
        <f>AVERAGE(D91:D94)</f>
        <v>#DIV/0!</v>
      </c>
      <c r="E95" s="289" t="e">
        <f>AVERAGE(E91:E94)</f>
        <v>#DIV/0!</v>
      </c>
      <c r="F95" s="352" t="e">
        <f>AVERAGE(F91:F94)</f>
        <v>#DIV/0!</v>
      </c>
      <c r="G95" s="353" t="e">
        <f>AVERAGE(G91:G94)</f>
        <v>#DIV/0!</v>
      </c>
    </row>
    <row r="96" spans="1:12" ht="26.25" customHeight="1" x14ac:dyDescent="0.4">
      <c r="A96" s="265" t="s">
        <v>64</v>
      </c>
      <c r="B96" s="251">
        <v>1</v>
      </c>
      <c r="C96" s="354" t="s">
        <v>105</v>
      </c>
      <c r="D96" s="355">
        <v>25.12</v>
      </c>
      <c r="E96" s="281"/>
      <c r="F96" s="293">
        <v>25.78</v>
      </c>
    </row>
    <row r="97" spans="1:10" ht="26.25" customHeight="1" x14ac:dyDescent="0.4">
      <c r="A97" s="265" t="s">
        <v>66</v>
      </c>
      <c r="B97" s="251">
        <v>1</v>
      </c>
      <c r="C97" s="356" t="s">
        <v>106</v>
      </c>
      <c r="D97" s="357">
        <f>D96*$B$87</f>
        <v>23.482631483386797</v>
      </c>
      <c r="E97" s="296"/>
      <c r="F97" s="295">
        <f>F96*$B$87</f>
        <v>24.09961145070508</v>
      </c>
    </row>
    <row r="98" spans="1:10" ht="19.5" customHeight="1" x14ac:dyDescent="0.3">
      <c r="A98" s="265" t="s">
        <v>68</v>
      </c>
      <c r="B98" s="358">
        <f>(B97/B96)*(B95/B94)*(B93/B92)*(B91/B90)*B89</f>
        <v>1250</v>
      </c>
      <c r="C98" s="356" t="s">
        <v>107</v>
      </c>
      <c r="D98" s="359">
        <f>D97*$B$83/100</f>
        <v>23.318253063003091</v>
      </c>
      <c r="E98" s="299"/>
      <c r="F98" s="298">
        <f>F97*$B$83/100</f>
        <v>23.930914170550146</v>
      </c>
    </row>
    <row r="99" spans="1:10" ht="19.5" customHeight="1" x14ac:dyDescent="0.3">
      <c r="A99" s="500" t="s">
        <v>70</v>
      </c>
      <c r="B99" s="514"/>
      <c r="C99" s="356" t="s">
        <v>108</v>
      </c>
      <c r="D99" s="360">
        <f>D98/$B$98</f>
        <v>1.8654602450402472E-2</v>
      </c>
      <c r="E99" s="299"/>
      <c r="F99" s="302">
        <f>F98/$B$98</f>
        <v>1.9144731336440117E-2</v>
      </c>
      <c r="G99" s="361"/>
      <c r="H99" s="291"/>
    </row>
    <row r="100" spans="1:10" ht="19.5" customHeight="1" x14ac:dyDescent="0.3">
      <c r="A100" s="502"/>
      <c r="B100" s="515"/>
      <c r="C100" s="356" t="s">
        <v>72</v>
      </c>
      <c r="D100" s="362">
        <f>$B$56/$B$116</f>
        <v>1.7777777777777778E-2</v>
      </c>
      <c r="F100" s="307"/>
      <c r="G100" s="363"/>
      <c r="H100" s="291"/>
    </row>
    <row r="101" spans="1:10" ht="18.75" x14ac:dyDescent="0.3">
      <c r="C101" s="356" t="s">
        <v>73</v>
      </c>
      <c r="D101" s="357">
        <f>D100*$B$98</f>
        <v>22.222222222222221</v>
      </c>
      <c r="F101" s="307"/>
      <c r="G101" s="361"/>
      <c r="H101" s="291"/>
    </row>
    <row r="102" spans="1:10" ht="19.5" customHeight="1" x14ac:dyDescent="0.3">
      <c r="C102" s="364" t="s">
        <v>74</v>
      </c>
      <c r="D102" s="365">
        <f>D101/B34</f>
        <v>22.222222222222221</v>
      </c>
      <c r="F102" s="311"/>
      <c r="G102" s="361"/>
      <c r="H102" s="291"/>
      <c r="J102" s="366"/>
    </row>
    <row r="103" spans="1:10" ht="18.75" x14ac:dyDescent="0.3">
      <c r="C103" s="367" t="s">
        <v>109</v>
      </c>
      <c r="D103" s="368" t="e">
        <f>AVERAGE(E91:E94,G91:G94)</f>
        <v>#DIV/0!</v>
      </c>
      <c r="F103" s="311"/>
      <c r="G103" s="369"/>
      <c r="H103" s="291"/>
      <c r="J103" s="370"/>
    </row>
    <row r="104" spans="1:10" ht="18.75" x14ac:dyDescent="0.3">
      <c r="C104" s="334" t="s">
        <v>76</v>
      </c>
      <c r="D104" s="371" t="e">
        <f>STDEV(E91:E94,G91:G94)/D103</f>
        <v>#DIV/0!</v>
      </c>
      <c r="F104" s="311"/>
      <c r="G104" s="361"/>
      <c r="H104" s="291"/>
      <c r="J104" s="370"/>
    </row>
    <row r="105" spans="1:10" ht="19.5" customHeight="1" x14ac:dyDescent="0.3">
      <c r="C105" s="336" t="s">
        <v>20</v>
      </c>
      <c r="D105" s="372">
        <f>COUNT(E91:E94,G91:G94)</f>
        <v>0</v>
      </c>
      <c r="F105" s="311"/>
      <c r="G105" s="361"/>
      <c r="H105" s="291"/>
      <c r="J105" s="370"/>
    </row>
    <row r="106" spans="1:10" ht="19.5" customHeight="1" x14ac:dyDescent="0.3">
      <c r="A106" s="315"/>
      <c r="B106" s="315"/>
      <c r="C106" s="315"/>
      <c r="D106" s="315"/>
      <c r="E106" s="315"/>
    </row>
    <row r="107" spans="1:10" ht="27" customHeight="1" x14ac:dyDescent="0.4">
      <c r="A107" s="263" t="s">
        <v>110</v>
      </c>
      <c r="B107" s="264">
        <v>900</v>
      </c>
      <c r="C107" s="411" t="s">
        <v>111</v>
      </c>
      <c r="D107" s="411" t="s">
        <v>55</v>
      </c>
      <c r="E107" s="411" t="s">
        <v>112</v>
      </c>
      <c r="F107" s="373" t="s">
        <v>113</v>
      </c>
    </row>
    <row r="108" spans="1:10" ht="26.25" customHeight="1" x14ac:dyDescent="0.4">
      <c r="A108" s="265" t="s">
        <v>114</v>
      </c>
      <c r="B108" s="266">
        <v>5</v>
      </c>
      <c r="C108" s="416">
        <v>1</v>
      </c>
      <c r="D108" s="417"/>
      <c r="E108" s="391" t="str">
        <f t="shared" ref="E108:E113" si="1">IF(ISBLANK(D108),"-",D108/$D$103*$D$100*$B$116)</f>
        <v>-</v>
      </c>
      <c r="F108" s="418" t="str">
        <f t="shared" ref="F108:F113" si="2">IF(ISBLANK(D108), "-", (E108/$B$56)*100)</f>
        <v>-</v>
      </c>
    </row>
    <row r="109" spans="1:10" ht="26.25" customHeight="1" x14ac:dyDescent="0.4">
      <c r="A109" s="265" t="s">
        <v>87</v>
      </c>
      <c r="B109" s="266">
        <v>50</v>
      </c>
      <c r="C109" s="412">
        <v>2</v>
      </c>
      <c r="D109" s="414"/>
      <c r="E109" s="392" t="str">
        <f t="shared" si="1"/>
        <v>-</v>
      </c>
      <c r="F109" s="419" t="str">
        <f t="shared" si="2"/>
        <v>-</v>
      </c>
    </row>
    <row r="110" spans="1:10" ht="26.25" customHeight="1" x14ac:dyDescent="0.4">
      <c r="A110" s="265" t="s">
        <v>88</v>
      </c>
      <c r="B110" s="266">
        <v>1</v>
      </c>
      <c r="C110" s="412">
        <v>3</v>
      </c>
      <c r="D110" s="414"/>
      <c r="E110" s="392" t="str">
        <f t="shared" si="1"/>
        <v>-</v>
      </c>
      <c r="F110" s="419" t="str">
        <f t="shared" si="2"/>
        <v>-</v>
      </c>
    </row>
    <row r="111" spans="1:10" ht="26.25" customHeight="1" x14ac:dyDescent="0.4">
      <c r="A111" s="265" t="s">
        <v>89</v>
      </c>
      <c r="B111" s="266">
        <v>1</v>
      </c>
      <c r="C111" s="412">
        <v>4</v>
      </c>
      <c r="D111" s="414"/>
      <c r="E111" s="392" t="str">
        <f t="shared" si="1"/>
        <v>-</v>
      </c>
      <c r="F111" s="419" t="str">
        <f t="shared" si="2"/>
        <v>-</v>
      </c>
    </row>
    <row r="112" spans="1:10" ht="26.25" customHeight="1" x14ac:dyDescent="0.4">
      <c r="A112" s="265" t="s">
        <v>90</v>
      </c>
      <c r="B112" s="266">
        <v>1</v>
      </c>
      <c r="C112" s="412">
        <v>5</v>
      </c>
      <c r="D112" s="414"/>
      <c r="E112" s="392" t="str">
        <f t="shared" si="1"/>
        <v>-</v>
      </c>
      <c r="F112" s="419" t="str">
        <f t="shared" si="2"/>
        <v>-</v>
      </c>
    </row>
    <row r="113" spans="1:10" ht="27" customHeight="1" x14ac:dyDescent="0.4">
      <c r="A113" s="265" t="s">
        <v>92</v>
      </c>
      <c r="B113" s="266">
        <v>1</v>
      </c>
      <c r="C113" s="413">
        <v>6</v>
      </c>
      <c r="D113" s="415"/>
      <c r="E113" s="393" t="str">
        <f t="shared" si="1"/>
        <v>-</v>
      </c>
      <c r="F113" s="420" t="str">
        <f t="shared" si="2"/>
        <v>-</v>
      </c>
    </row>
    <row r="114" spans="1:10" ht="27" customHeight="1" x14ac:dyDescent="0.4">
      <c r="A114" s="265" t="s">
        <v>93</v>
      </c>
      <c r="B114" s="266">
        <v>1</v>
      </c>
      <c r="C114" s="374"/>
      <c r="D114" s="332"/>
      <c r="E114" s="239"/>
      <c r="F114" s="421"/>
    </row>
    <row r="115" spans="1:10" ht="26.25" customHeight="1" x14ac:dyDescent="0.4">
      <c r="A115" s="265" t="s">
        <v>94</v>
      </c>
      <c r="B115" s="266">
        <v>1</v>
      </c>
      <c r="C115" s="374"/>
      <c r="D115" s="398" t="s">
        <v>63</v>
      </c>
      <c r="E115" s="400" t="e">
        <f>AVERAGE(E108:E113)</f>
        <v>#DIV/0!</v>
      </c>
      <c r="F115" s="422" t="e">
        <f>AVERAGE(F108:F113)</f>
        <v>#DIV/0!</v>
      </c>
    </row>
    <row r="116" spans="1:10" ht="27" customHeight="1" x14ac:dyDescent="0.4">
      <c r="A116" s="265" t="s">
        <v>95</v>
      </c>
      <c r="B116" s="297">
        <f>(B115/B114)*(B113/B112)*(B111/B110)*(B109/B108)*B107</f>
        <v>9000</v>
      </c>
      <c r="C116" s="375"/>
      <c r="D116" s="399" t="s">
        <v>76</v>
      </c>
      <c r="E116" s="397" t="e">
        <f>STDEV(E108:E113)/E115</f>
        <v>#DIV/0!</v>
      </c>
      <c r="F116" s="376" t="e">
        <f>STDEV(F108:F113)/F115</f>
        <v>#DIV/0!</v>
      </c>
      <c r="I116" s="239"/>
    </row>
    <row r="117" spans="1:10" ht="27" customHeight="1" x14ac:dyDescent="0.4">
      <c r="A117" s="500" t="s">
        <v>70</v>
      </c>
      <c r="B117" s="501"/>
      <c r="C117" s="377"/>
      <c r="D117" s="336" t="s">
        <v>20</v>
      </c>
      <c r="E117" s="402">
        <f>COUNT(E108:E113)</f>
        <v>0</v>
      </c>
      <c r="F117" s="403">
        <f>COUNT(F108:F113)</f>
        <v>0</v>
      </c>
      <c r="I117" s="239"/>
      <c r="J117" s="370"/>
    </row>
    <row r="118" spans="1:10" ht="26.25" customHeight="1" x14ac:dyDescent="0.3">
      <c r="A118" s="502"/>
      <c r="B118" s="503"/>
      <c r="C118" s="239"/>
      <c r="D118" s="401"/>
      <c r="E118" s="480" t="s">
        <v>115</v>
      </c>
      <c r="F118" s="481"/>
      <c r="G118" s="239"/>
      <c r="H118" s="239"/>
      <c r="I118" s="239"/>
    </row>
    <row r="119" spans="1:10" ht="25.5" customHeight="1" x14ac:dyDescent="0.4">
      <c r="A119" s="386"/>
      <c r="B119" s="261"/>
      <c r="C119" s="239"/>
      <c r="D119" s="399" t="s">
        <v>116</v>
      </c>
      <c r="E119" s="404">
        <f>MIN(E108:E113)</f>
        <v>0</v>
      </c>
      <c r="F119" s="423">
        <f>MIN(F108:F113)</f>
        <v>0</v>
      </c>
      <c r="G119" s="239"/>
      <c r="H119" s="239"/>
      <c r="I119" s="239"/>
    </row>
    <row r="120" spans="1:10" ht="24" customHeight="1" x14ac:dyDescent="0.4">
      <c r="A120" s="386"/>
      <c r="B120" s="261"/>
      <c r="C120" s="239"/>
      <c r="D120" s="308" t="s">
        <v>117</v>
      </c>
      <c r="E120" s="405">
        <f>MAX(E108:E113)</f>
        <v>0</v>
      </c>
      <c r="F120" s="424">
        <f>MAX(F108:F113)</f>
        <v>0</v>
      </c>
      <c r="G120" s="239"/>
      <c r="H120" s="239"/>
      <c r="I120" s="239"/>
    </row>
    <row r="121" spans="1:10" ht="27" customHeight="1" x14ac:dyDescent="0.3">
      <c r="A121" s="386"/>
      <c r="B121" s="261"/>
      <c r="C121" s="239"/>
      <c r="D121" s="239"/>
      <c r="E121" s="239"/>
      <c r="F121" s="332"/>
      <c r="G121" s="239"/>
      <c r="H121" s="239"/>
      <c r="I121" s="239"/>
    </row>
    <row r="122" spans="1:10" ht="25.5" customHeight="1" x14ac:dyDescent="0.3">
      <c r="A122" s="386"/>
      <c r="B122" s="261"/>
      <c r="C122" s="239"/>
      <c r="D122" s="239"/>
      <c r="E122" s="239"/>
      <c r="F122" s="332"/>
      <c r="G122" s="239"/>
      <c r="H122" s="239"/>
      <c r="I122" s="239"/>
    </row>
    <row r="123" spans="1:10" ht="18.75" x14ac:dyDescent="0.3">
      <c r="A123" s="386"/>
      <c r="B123" s="261"/>
      <c r="C123" s="239"/>
      <c r="D123" s="239"/>
      <c r="E123" s="239"/>
      <c r="F123" s="332"/>
      <c r="G123" s="239"/>
      <c r="H123" s="239"/>
      <c r="I123" s="239"/>
    </row>
    <row r="124" spans="1:10" ht="45.75" customHeight="1" x14ac:dyDescent="0.65">
      <c r="A124" s="249" t="s">
        <v>98</v>
      </c>
      <c r="B124" s="338" t="s">
        <v>118</v>
      </c>
      <c r="C124" s="512" t="str">
        <f>B26</f>
        <v>Trimethoprim</v>
      </c>
      <c r="D124" s="512"/>
      <c r="E124" s="339" t="s">
        <v>119</v>
      </c>
      <c r="F124" s="339"/>
      <c r="G124" s="425" t="e">
        <f>F115</f>
        <v>#DIV/0!</v>
      </c>
      <c r="H124" s="239"/>
      <c r="I124" s="239"/>
    </row>
    <row r="125" spans="1:10" ht="45.75" customHeight="1" x14ac:dyDescent="0.65">
      <c r="A125" s="249"/>
      <c r="B125" s="338" t="s">
        <v>120</v>
      </c>
      <c r="C125" s="250" t="s">
        <v>121</v>
      </c>
      <c r="D125" s="425">
        <f>MIN(F108:F113)</f>
        <v>0</v>
      </c>
      <c r="E125" s="350" t="s">
        <v>122</v>
      </c>
      <c r="F125" s="425">
        <f>MAX(F108:F113)</f>
        <v>0</v>
      </c>
      <c r="G125" s="340"/>
      <c r="H125" s="239"/>
      <c r="I125" s="239"/>
    </row>
    <row r="126" spans="1:10" ht="19.5" customHeight="1" x14ac:dyDescent="0.3">
      <c r="A126" s="378"/>
      <c r="B126" s="378"/>
      <c r="C126" s="379"/>
      <c r="D126" s="379"/>
      <c r="E126" s="379"/>
      <c r="F126" s="379"/>
      <c r="G126" s="379"/>
      <c r="H126" s="379"/>
    </row>
    <row r="127" spans="1:10" ht="18.75" x14ac:dyDescent="0.3">
      <c r="B127" s="513" t="s">
        <v>25</v>
      </c>
      <c r="C127" s="513"/>
      <c r="E127" s="345" t="s">
        <v>26</v>
      </c>
      <c r="F127" s="380"/>
      <c r="G127" s="513" t="s">
        <v>27</v>
      </c>
      <c r="H127" s="513"/>
    </row>
    <row r="128" spans="1:10" ht="69.95" customHeight="1" x14ac:dyDescent="0.3">
      <c r="A128" s="381" t="s">
        <v>28</v>
      </c>
      <c r="B128" s="382"/>
      <c r="C128" s="382"/>
      <c r="E128" s="382"/>
      <c r="F128" s="239"/>
      <c r="G128" s="383"/>
      <c r="H128" s="383"/>
    </row>
    <row r="129" spans="1:9" ht="69.95" customHeight="1" x14ac:dyDescent="0.3">
      <c r="A129" s="381" t="s">
        <v>29</v>
      </c>
      <c r="B129" s="384"/>
      <c r="C129" s="384"/>
      <c r="E129" s="384"/>
      <c r="F129" s="239"/>
      <c r="G129" s="385"/>
      <c r="H129" s="385"/>
    </row>
    <row r="130" spans="1:9" ht="18.75" x14ac:dyDescent="0.3">
      <c r="A130" s="331"/>
      <c r="B130" s="331"/>
      <c r="C130" s="332"/>
      <c r="D130" s="332"/>
      <c r="E130" s="332"/>
      <c r="F130" s="335"/>
      <c r="G130" s="332"/>
      <c r="H130" s="332"/>
      <c r="I130" s="239"/>
    </row>
    <row r="131" spans="1:9" ht="18.75" x14ac:dyDescent="0.3">
      <c r="A131" s="331"/>
      <c r="B131" s="331"/>
      <c r="C131" s="332"/>
      <c r="D131" s="332"/>
      <c r="E131" s="332"/>
      <c r="F131" s="335"/>
      <c r="G131" s="332"/>
      <c r="H131" s="332"/>
      <c r="I131" s="239"/>
    </row>
    <row r="132" spans="1:9" ht="18.75" x14ac:dyDescent="0.3">
      <c r="A132" s="331"/>
      <c r="B132" s="331"/>
      <c r="C132" s="332"/>
      <c r="D132" s="332"/>
      <c r="E132" s="332"/>
      <c r="F132" s="335"/>
      <c r="G132" s="332"/>
      <c r="H132" s="332"/>
      <c r="I132" s="239"/>
    </row>
    <row r="133" spans="1:9" ht="18.75" x14ac:dyDescent="0.3">
      <c r="A133" s="331"/>
      <c r="B133" s="331"/>
      <c r="C133" s="332"/>
      <c r="D133" s="332"/>
      <c r="E133" s="332"/>
      <c r="F133" s="335"/>
      <c r="G133" s="332"/>
      <c r="H133" s="332"/>
      <c r="I133" s="239"/>
    </row>
    <row r="134" spans="1:9" ht="18.75" x14ac:dyDescent="0.3">
      <c r="A134" s="331"/>
      <c r="B134" s="331"/>
      <c r="C134" s="332"/>
      <c r="D134" s="332"/>
      <c r="E134" s="332"/>
      <c r="F134" s="335"/>
      <c r="G134" s="332"/>
      <c r="H134" s="332"/>
      <c r="I134" s="239"/>
    </row>
    <row r="135" spans="1:9" ht="18.75" x14ac:dyDescent="0.3">
      <c r="A135" s="331"/>
      <c r="B135" s="331"/>
      <c r="C135" s="332"/>
      <c r="D135" s="332"/>
      <c r="E135" s="332"/>
      <c r="F135" s="335"/>
      <c r="G135" s="332"/>
      <c r="H135" s="332"/>
      <c r="I135" s="239"/>
    </row>
    <row r="136" spans="1:9" ht="18.75" x14ac:dyDescent="0.3">
      <c r="A136" s="331"/>
      <c r="B136" s="331"/>
      <c r="C136" s="332"/>
      <c r="D136" s="332"/>
      <c r="E136" s="332"/>
      <c r="F136" s="335"/>
      <c r="G136" s="332"/>
      <c r="H136" s="332"/>
      <c r="I136" s="239"/>
    </row>
    <row r="137" spans="1:9" ht="18.75" x14ac:dyDescent="0.3">
      <c r="A137" s="331"/>
      <c r="B137" s="331"/>
      <c r="C137" s="332"/>
      <c r="D137" s="332"/>
      <c r="E137" s="332"/>
      <c r="F137" s="335"/>
      <c r="G137" s="332"/>
      <c r="H137" s="332"/>
      <c r="I137" s="239"/>
    </row>
    <row r="138" spans="1:9" ht="18.75" x14ac:dyDescent="0.3">
      <c r="A138" s="331"/>
      <c r="B138" s="331"/>
      <c r="C138" s="332"/>
      <c r="D138" s="332"/>
      <c r="E138" s="332"/>
      <c r="F138" s="335"/>
      <c r="G138" s="332"/>
      <c r="H138" s="332"/>
      <c r="I138" s="23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Serah Muteru</cp:lastModifiedBy>
  <dcterms:created xsi:type="dcterms:W3CDTF">2005-07-05T10:19:27Z</dcterms:created>
  <dcterms:modified xsi:type="dcterms:W3CDTF">2017-06-12T08:05:32Z</dcterms:modified>
</cp:coreProperties>
</file>