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3"/>
  </bookViews>
  <sheets>
    <sheet name="sst tri" sheetId="8" r:id="rId1"/>
    <sheet name="sst sulf" sheetId="7" r:id="rId2"/>
    <sheet name="sulfamethoxazole" sheetId="6" r:id="rId3"/>
    <sheet name="TRIMETHROPRIM" sheetId="5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B69" i="5" s="1"/>
  <c r="B57" i="6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32" i="7"/>
  <c r="E30" i="7"/>
  <c r="D30" i="7"/>
  <c r="C30" i="7"/>
  <c r="B30" i="7"/>
  <c r="B31" i="7" s="1"/>
  <c r="B21" i="7"/>
  <c r="C124" i="6"/>
  <c r="B116" i="6"/>
  <c r="D100" i="6"/>
  <c r="D101" i="6" s="1"/>
  <c r="B98" i="6"/>
  <c r="F97" i="6"/>
  <c r="F98" i="6" s="1"/>
  <c r="F99" i="6" s="1"/>
  <c r="F95" i="6"/>
  <c r="D95" i="6"/>
  <c r="G94" i="6"/>
  <c r="E94" i="6"/>
  <c r="I92" i="6"/>
  <c r="B87" i="6"/>
  <c r="D97" i="6" s="1"/>
  <c r="D98" i="6" s="1"/>
  <c r="D99" i="6" s="1"/>
  <c r="B83" i="6"/>
  <c r="B81" i="6"/>
  <c r="B79" i="6"/>
  <c r="C76" i="6"/>
  <c r="H71" i="6"/>
  <c r="G71" i="6"/>
  <c r="B68" i="6"/>
  <c r="B69" i="6" s="1"/>
  <c r="H67" i="6"/>
  <c r="G67" i="6"/>
  <c r="H63" i="6"/>
  <c r="G63" i="6"/>
  <c r="C56" i="6"/>
  <c r="B55" i="6"/>
  <c r="D48" i="6"/>
  <c r="E39" i="6" s="1"/>
  <c r="D45" i="6"/>
  <c r="D46" i="6" s="1"/>
  <c r="B45" i="6"/>
  <c r="F44" i="6"/>
  <c r="F45" i="6" s="1"/>
  <c r="F46" i="6" s="1"/>
  <c r="D44" i="6"/>
  <c r="F42" i="6"/>
  <c r="D42" i="6"/>
  <c r="G41" i="6"/>
  <c r="E41" i="6"/>
  <c r="I39" i="6"/>
  <c r="E38" i="6"/>
  <c r="B34" i="6"/>
  <c r="B30" i="6"/>
  <c r="C124" i="5"/>
  <c r="B116" i="5"/>
  <c r="D100" i="5"/>
  <c r="D101" i="5" s="1"/>
  <c r="B98" i="5"/>
  <c r="F95" i="5"/>
  <c r="I92" i="5" s="1"/>
  <c r="D95" i="5"/>
  <c r="G94" i="5"/>
  <c r="E94" i="5"/>
  <c r="B87" i="5"/>
  <c r="F97" i="5" s="1"/>
  <c r="F98" i="5" s="1"/>
  <c r="F99" i="5" s="1"/>
  <c r="B83" i="5"/>
  <c r="B81" i="5"/>
  <c r="B80" i="5"/>
  <c r="B79" i="5"/>
  <c r="C76" i="5"/>
  <c r="H71" i="5"/>
  <c r="G71" i="5"/>
  <c r="B68" i="5"/>
  <c r="H67" i="5"/>
  <c r="G67" i="5"/>
  <c r="H63" i="5"/>
  <c r="G63" i="5"/>
  <c r="C56" i="5"/>
  <c r="B55" i="5"/>
  <c r="F45" i="5"/>
  <c r="F46" i="5" s="1"/>
  <c r="B45" i="5"/>
  <c r="D48" i="5" s="1"/>
  <c r="F44" i="5"/>
  <c r="D44" i="5"/>
  <c r="D45" i="5" s="1"/>
  <c r="D46" i="5" s="1"/>
  <c r="F42" i="5"/>
  <c r="D42" i="5"/>
  <c r="I39" i="5" s="1"/>
  <c r="G41" i="5"/>
  <c r="E41" i="5"/>
  <c r="B34" i="5"/>
  <c r="B30" i="5"/>
  <c r="C46" i="2"/>
  <c r="C45" i="2"/>
  <c r="D41" i="2"/>
  <c r="D37" i="2"/>
  <c r="D33" i="2"/>
  <c r="D29" i="2"/>
  <c r="D25" i="2"/>
  <c r="D24" i="2"/>
  <c r="C19" i="2"/>
  <c r="E91" i="6" l="1"/>
  <c r="G92" i="6"/>
  <c r="D102" i="6"/>
  <c r="G93" i="6"/>
  <c r="E92" i="6"/>
  <c r="E93" i="6"/>
  <c r="G91" i="6"/>
  <c r="G95" i="6" s="1"/>
  <c r="G40" i="6"/>
  <c r="D50" i="6"/>
  <c r="G39" i="6"/>
  <c r="G38" i="6"/>
  <c r="G42" i="6" s="1"/>
  <c r="E40" i="6"/>
  <c r="D52" i="6" s="1"/>
  <c r="D49" i="6"/>
  <c r="D102" i="5"/>
  <c r="G93" i="5"/>
  <c r="G91" i="5"/>
  <c r="G92" i="5"/>
  <c r="G39" i="5"/>
  <c r="G38" i="5"/>
  <c r="E39" i="5"/>
  <c r="D49" i="5"/>
  <c r="E38" i="5"/>
  <c r="G40" i="5"/>
  <c r="E40" i="5"/>
  <c r="D97" i="5"/>
  <c r="D98" i="5" s="1"/>
  <c r="D99" i="5" s="1"/>
  <c r="D27" i="2"/>
  <c r="D31" i="2"/>
  <c r="D35" i="2"/>
  <c r="D39" i="2"/>
  <c r="D43" i="2"/>
  <c r="C49" i="2"/>
  <c r="D28" i="2"/>
  <c r="D32" i="2"/>
  <c r="D36" i="2"/>
  <c r="D40" i="2"/>
  <c r="D49" i="2"/>
  <c r="C50" i="2"/>
  <c r="D26" i="2"/>
  <c r="D30" i="2"/>
  <c r="D34" i="2"/>
  <c r="D38" i="2"/>
  <c r="D42" i="2"/>
  <c r="B49" i="2"/>
  <c r="D50" i="2"/>
  <c r="G70" i="6" l="1"/>
  <c r="H70" i="6" s="1"/>
  <c r="G64" i="6"/>
  <c r="H64" i="6" s="1"/>
  <c r="G68" i="6"/>
  <c r="H68" i="6" s="1"/>
  <c r="G66" i="6"/>
  <c r="H66" i="6" s="1"/>
  <c r="G69" i="6"/>
  <c r="H69" i="6" s="1"/>
  <c r="G62" i="6"/>
  <c r="H62" i="6" s="1"/>
  <c r="D51" i="6"/>
  <c r="G65" i="6"/>
  <c r="H65" i="6" s="1"/>
  <c r="G61" i="6"/>
  <c r="H61" i="6" s="1"/>
  <c r="G60" i="6"/>
  <c r="E42" i="6"/>
  <c r="D103" i="6"/>
  <c r="E95" i="6"/>
  <c r="D105" i="6"/>
  <c r="E92" i="5"/>
  <c r="E91" i="5"/>
  <c r="G42" i="5"/>
  <c r="G95" i="5"/>
  <c r="E42" i="5"/>
  <c r="D52" i="5"/>
  <c r="D50" i="5"/>
  <c r="E93" i="5"/>
  <c r="G74" i="6" l="1"/>
  <c r="G72" i="6"/>
  <c r="G73" i="6" s="1"/>
  <c r="H60" i="6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D51" i="5"/>
  <c r="G68" i="5"/>
  <c r="H68" i="5" s="1"/>
  <c r="G69" i="5"/>
  <c r="H69" i="5" s="1"/>
  <c r="G66" i="5"/>
  <c r="H66" i="5" s="1"/>
  <c r="G64" i="5"/>
  <c r="H64" i="5" s="1"/>
  <c r="G62" i="5"/>
  <c r="H62" i="5" s="1"/>
  <c r="G60" i="5"/>
  <c r="G70" i="5"/>
  <c r="H70" i="5" s="1"/>
  <c r="G65" i="5"/>
  <c r="H65" i="5" s="1"/>
  <c r="G61" i="5"/>
  <c r="H61" i="5" s="1"/>
  <c r="E95" i="5"/>
  <c r="D105" i="5"/>
  <c r="D103" i="5"/>
  <c r="H74" i="6" l="1"/>
  <c r="H72" i="6"/>
  <c r="E120" i="6"/>
  <c r="E117" i="6"/>
  <c r="F108" i="6"/>
  <c r="E115" i="6"/>
  <c r="E116" i="6" s="1"/>
  <c r="E119" i="6"/>
  <c r="H60" i="5"/>
  <c r="G74" i="5"/>
  <c r="G72" i="5"/>
  <c r="G73" i="5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76" i="6" l="1"/>
  <c r="H73" i="6"/>
  <c r="F125" i="6"/>
  <c r="F120" i="6"/>
  <c r="F117" i="6"/>
  <c r="D125" i="6"/>
  <c r="F115" i="6"/>
  <c r="F119" i="6"/>
  <c r="E120" i="5"/>
  <c r="E117" i="5"/>
  <c r="F108" i="5"/>
  <c r="E115" i="5"/>
  <c r="E116" i="5" s="1"/>
  <c r="E119" i="5"/>
  <c r="H74" i="5"/>
  <c r="H72" i="5"/>
  <c r="G124" i="6" l="1"/>
  <c r="F116" i="6"/>
  <c r="G76" i="5"/>
  <c r="H73" i="5"/>
  <c r="D125" i="5"/>
  <c r="F115" i="5"/>
  <c r="F119" i="5"/>
  <c r="F125" i="5"/>
  <c r="F120" i="5"/>
  <c r="F117" i="5"/>
  <c r="G124" i="5" l="1"/>
  <c r="F116" i="5"/>
</calcChain>
</file>

<file path=xl/sharedStrings.xml><?xml version="1.0" encoding="utf-8"?>
<sst xmlns="http://schemas.openxmlformats.org/spreadsheetml/2006/main" count="455" uniqueCount="138">
  <si>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</si>
  <si>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</si>
  <si>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</si>
  <si>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</si>
  <si>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</si>
  <si>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</si>
  <si>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</si>
  <si>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NDQB201705400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</si>
  <si>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</si>
  <si>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</si>
  <si>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</si>
  <si>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</si>
  <si>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2017-05-23 08:15:40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</si>
  <si>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</si>
  <si>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</si>
  <si>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</si>
  <si>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</si>
  <si>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</si>
  <si>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</si>
  <si>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</si>
  <si>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</si>
  <si>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</si>
  <si>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</si>
  <si>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</si>
  <si>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</si>
  <si>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</si>
  <si>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</si>
  <si>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</si>
  <si>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</si>
  <si>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</si>
  <si>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</si>
  <si>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</si>
  <si>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</si>
  <si>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</si>
  <si>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</si>
  <si>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</si>
  <si>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</si>
  <si>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</si>
  <si>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</si>
  <si>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</si>
  <si>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</si>
  <si>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</si>
  <si>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</si>
  <si>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</si>
  <si>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</si>
  <si>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</si>
  <si>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</si>
  <si>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</si>
  <si>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</si>
  <si>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</si>
  <si>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</si>
  <si>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</si>
  <si>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</si>
  <si>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</si>
  <si>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</si>
  <si>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</si>
  <si>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</si>
  <si>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</si>
  <si>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</si>
  <si>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</si>
  <si>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</si>
  <si>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</si>
  <si>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</si>
  <si>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</si>
  <si>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</si>
  <si>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</si>
  <si>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</si>
  <si>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</si>
  <si>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</si>
  <si>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</si>
  <si>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</si>
  <si>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</si>
  <si>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</si>
  <si>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</si>
  <si>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</si>
  <si>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</si>
  <si>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</si>
  <si>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</si>
  <si>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</si>
  <si>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</si>
  <si>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</si>
  <si>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</si>
  <si>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</si>
  <si>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</si>
  <si>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</si>
  <si>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</si>
  <si>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</si>
  <si>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</si>
  <si>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</si>
  <si>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</si>
  <si>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</si>
  <si>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</si>
  <si>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</si>
  <si>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</si>
  <si>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</si>
  <si>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</si>
  <si>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</si>
  <si>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</si>
  <si>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</si>
  <si>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</si>
  <si>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</si>
  <si>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</si>
  <si>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</si>
  <si>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</si>
  <si>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</si>
  <si>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</si>
  <si>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</si>
  <si>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</si>
  <si>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</si>
  <si>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</si>
  <si>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</si>
  <si>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</si>
  <si>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</si>
  <si>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</si>
  <si>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</si>
  <si>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</si>
  <si>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</si>
  <si>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</si>
  <si>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</si>
  <si>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</si>
  <si>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</si>
  <si>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</si>
  <si>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</si>
  <si>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</si>
  <si>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</si>
  <si>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</si>
  <si>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</si>
  <si>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</si>
  <si>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</si>
  <si>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</si>
  <si>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COTRIMOXAZOLE 960 TABLETS</t>
  </si>
  <si>
    <t>2017-05-15 11:18:07</t>
  </si>
  <si>
    <t>Trimethoprim</t>
  </si>
  <si>
    <t>T17-4</t>
  </si>
  <si>
    <t>sulfamethoxazole</t>
  </si>
  <si>
    <t>S12-6</t>
  </si>
  <si>
    <t>Sulfamethoxazole</t>
  </si>
  <si>
    <t>Trimethroprim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</si>
</sst>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1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2"/>
    <cellStyle name="Normal 3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48" sqref="B48"/>
    </sheetView>
  </sheetViews>
  <sheetFormatPr defaultRowHeight="13.5" x14ac:dyDescent="0.25"/>
  <cols>
    <col min="1" max="1" width="27.5703125" style="213" customWidth="1"/>
    <col min="2" max="2" width="20.42578125" style="213" customWidth="1"/>
    <col min="3" max="3" width="31.85546875" style="213" customWidth="1"/>
    <col min="4" max="4" width="25.85546875" style="213" customWidth="1"/>
    <col min="5" max="5" width="25.7109375" style="213" customWidth="1"/>
    <col min="6" max="6" width="23.140625" style="213" customWidth="1"/>
    <col min="7" max="7" width="28.42578125" style="213" customWidth="1"/>
    <col min="8" max="8" width="21.5703125" style="213" customWidth="1"/>
    <col min="9" max="9" width="9.140625" style="213" customWidth="1"/>
    <col min="10" max="16384" width="9.140625" style="215"/>
  </cols>
  <sheetData>
    <row r="14" spans="1:6" ht="15" customHeight="1" x14ac:dyDescent="0.3">
      <c r="A14" s="378"/>
      <c r="C14" s="379"/>
      <c r="F14" s="379"/>
    </row>
    <row r="15" spans="1:6" ht="18.75" customHeight="1" x14ac:dyDescent="0.3">
      <c r="A15" s="418" t="s">
        <v>0</v>
      </c>
      <c r="B15" s="418"/>
      <c r="C15" s="418"/>
      <c r="D15" s="418"/>
      <c r="E15" s="418"/>
    </row>
    <row r="16" spans="1:6" ht="16.5" customHeight="1" x14ac:dyDescent="0.3">
      <c r="A16" s="380" t="s">
        <v>1</v>
      </c>
      <c r="B16" s="381" t="s">
        <v>2</v>
      </c>
    </row>
    <row r="17" spans="1:5" ht="16.5" customHeight="1" x14ac:dyDescent="0.3">
      <c r="A17" s="382" t="s">
        <v>3</v>
      </c>
      <c r="B17" s="382" t="s">
        <v>130</v>
      </c>
      <c r="D17" s="383"/>
      <c r="E17" s="384"/>
    </row>
    <row r="18" spans="1:5" ht="16.5" customHeight="1" x14ac:dyDescent="0.3">
      <c r="A18" s="385" t="s">
        <v>4</v>
      </c>
      <c r="B18" s="382" t="s">
        <v>137</v>
      </c>
      <c r="C18" s="384"/>
      <c r="D18" s="384"/>
      <c r="E18" s="384"/>
    </row>
    <row r="19" spans="1:5" ht="16.5" customHeight="1" x14ac:dyDescent="0.3">
      <c r="A19" s="385" t="s">
        <v>6</v>
      </c>
      <c r="B19" s="386">
        <v>99.3</v>
      </c>
      <c r="C19" s="384"/>
      <c r="D19" s="384"/>
      <c r="E19" s="384"/>
    </row>
    <row r="20" spans="1:5" ht="16.5" customHeight="1" x14ac:dyDescent="0.3">
      <c r="A20" s="382" t="s">
        <v>8</v>
      </c>
      <c r="B20" s="386">
        <v>22.01</v>
      </c>
      <c r="C20" s="384"/>
      <c r="D20" s="384"/>
      <c r="E20" s="384"/>
    </row>
    <row r="21" spans="1:5" ht="16.5" customHeight="1" x14ac:dyDescent="0.3">
      <c r="A21" s="382" t="s">
        <v>10</v>
      </c>
      <c r="B21" s="387">
        <f>B20/25*4/100</f>
        <v>3.5216000000000004E-2</v>
      </c>
      <c r="C21" s="384"/>
      <c r="D21" s="384"/>
      <c r="E21" s="384"/>
    </row>
    <row r="22" spans="1:5" ht="15.75" customHeight="1" x14ac:dyDescent="0.25">
      <c r="A22" s="384"/>
      <c r="B22" s="384" t="s">
        <v>131</v>
      </c>
      <c r="C22" s="384"/>
      <c r="D22" s="384"/>
      <c r="E22" s="384"/>
    </row>
    <row r="23" spans="1:5" ht="16.5" customHeight="1" x14ac:dyDescent="0.3">
      <c r="A23" s="229" t="s">
        <v>13</v>
      </c>
      <c r="B23" s="388" t="s">
        <v>14</v>
      </c>
      <c r="C23" s="229" t="s">
        <v>15</v>
      </c>
      <c r="D23" s="229" t="s">
        <v>16</v>
      </c>
      <c r="E23" s="229" t="s">
        <v>17</v>
      </c>
    </row>
    <row r="24" spans="1:5" ht="16.5" customHeight="1" x14ac:dyDescent="0.3">
      <c r="A24" s="389">
        <v>1</v>
      </c>
      <c r="B24" s="390">
        <v>2667381</v>
      </c>
      <c r="C24" s="390">
        <v>4816.3</v>
      </c>
      <c r="D24" s="391">
        <v>1.5</v>
      </c>
      <c r="E24" s="392">
        <v>5.5</v>
      </c>
    </row>
    <row r="25" spans="1:5" ht="16.5" customHeight="1" x14ac:dyDescent="0.3">
      <c r="A25" s="389">
        <v>2</v>
      </c>
      <c r="B25" s="390">
        <v>2655784</v>
      </c>
      <c r="C25" s="390">
        <v>4757.7</v>
      </c>
      <c r="D25" s="391">
        <v>1.5</v>
      </c>
      <c r="E25" s="391">
        <v>5.5</v>
      </c>
    </row>
    <row r="26" spans="1:5" ht="16.5" customHeight="1" x14ac:dyDescent="0.3">
      <c r="A26" s="389">
        <v>3</v>
      </c>
      <c r="B26" s="390">
        <v>2649866</v>
      </c>
      <c r="C26" s="390">
        <v>4775.1000000000004</v>
      </c>
      <c r="D26" s="391">
        <v>1.5</v>
      </c>
      <c r="E26" s="391">
        <v>5.5</v>
      </c>
    </row>
    <row r="27" spans="1:5" ht="16.5" customHeight="1" x14ac:dyDescent="0.3">
      <c r="A27" s="389">
        <v>4</v>
      </c>
      <c r="B27" s="390">
        <v>2662595</v>
      </c>
      <c r="C27" s="390">
        <v>4774.5</v>
      </c>
      <c r="D27" s="391">
        <v>1.5</v>
      </c>
      <c r="E27" s="391">
        <v>5.5</v>
      </c>
    </row>
    <row r="28" spans="1:5" ht="16.5" customHeight="1" x14ac:dyDescent="0.3">
      <c r="A28" s="389">
        <v>5</v>
      </c>
      <c r="B28" s="390">
        <v>2618843</v>
      </c>
      <c r="C28" s="390">
        <v>4727.8</v>
      </c>
      <c r="D28" s="391">
        <v>1.5</v>
      </c>
      <c r="E28" s="391">
        <v>5.5</v>
      </c>
    </row>
    <row r="29" spans="1:5" ht="16.5" customHeight="1" x14ac:dyDescent="0.3">
      <c r="A29" s="389">
        <v>6</v>
      </c>
      <c r="B29" s="393">
        <v>2609114</v>
      </c>
      <c r="C29" s="393">
        <v>4763</v>
      </c>
      <c r="D29" s="394">
        <v>1.5</v>
      </c>
      <c r="E29" s="394">
        <v>5.5</v>
      </c>
    </row>
    <row r="30" spans="1:5" ht="16.5" customHeight="1" x14ac:dyDescent="0.3">
      <c r="A30" s="395" t="s">
        <v>18</v>
      </c>
      <c r="B30" s="396">
        <f>AVERAGE(B24:B29)</f>
        <v>2643930.5</v>
      </c>
      <c r="C30" s="397">
        <f>AVERAGE(C24:C29)</f>
        <v>4769.0666666666666</v>
      </c>
      <c r="D30" s="398">
        <f>AVERAGE(D24:D29)</f>
        <v>1.5</v>
      </c>
      <c r="E30" s="398">
        <f>AVERAGE(E24:E29)</f>
        <v>5.5</v>
      </c>
    </row>
    <row r="31" spans="1:5" ht="16.5" customHeight="1" x14ac:dyDescent="0.3">
      <c r="A31" s="399" t="s">
        <v>19</v>
      </c>
      <c r="B31" s="400">
        <f>(STDEV(B24:B29)/B30)</f>
        <v>9.1333199189902112E-3</v>
      </c>
      <c r="C31" s="401"/>
      <c r="D31" s="401"/>
      <c r="E31" s="402"/>
    </row>
    <row r="32" spans="1:5" s="213" customFormat="1" ht="16.5" customHeight="1" x14ac:dyDescent="0.3">
      <c r="A32" s="403" t="s">
        <v>20</v>
      </c>
      <c r="B32" s="404">
        <f>COUNT(B24:B29)</f>
        <v>6</v>
      </c>
      <c r="C32" s="405"/>
      <c r="D32" s="406"/>
      <c r="E32" s="407"/>
    </row>
    <row r="33" spans="1:5" s="213" customFormat="1" ht="15.75" customHeight="1" x14ac:dyDescent="0.25">
      <c r="A33" s="384"/>
      <c r="B33" s="384"/>
      <c r="C33" s="384"/>
      <c r="D33" s="384"/>
      <c r="E33" s="384"/>
    </row>
    <row r="34" spans="1:5" s="213" customFormat="1" ht="16.5" customHeight="1" x14ac:dyDescent="0.3">
      <c r="A34" s="385" t="s">
        <v>21</v>
      </c>
      <c r="B34" s="408" t="s">
        <v>22</v>
      </c>
      <c r="C34" s="409"/>
      <c r="D34" s="409"/>
      <c r="E34" s="409"/>
    </row>
    <row r="35" spans="1:5" ht="16.5" customHeight="1" x14ac:dyDescent="0.3">
      <c r="A35" s="385"/>
      <c r="B35" s="408" t="s">
        <v>23</v>
      </c>
      <c r="C35" s="409"/>
      <c r="D35" s="409"/>
      <c r="E35" s="409"/>
    </row>
    <row r="36" spans="1:5" ht="16.5" customHeight="1" x14ac:dyDescent="0.3">
      <c r="A36" s="385"/>
      <c r="B36" s="408" t="s">
        <v>24</v>
      </c>
      <c r="C36" s="409"/>
      <c r="D36" s="409"/>
      <c r="E36" s="409"/>
    </row>
    <row r="37" spans="1:5" ht="15.75" customHeight="1" x14ac:dyDescent="0.25">
      <c r="A37" s="384"/>
      <c r="B37" s="384"/>
      <c r="C37" s="384"/>
      <c r="D37" s="384"/>
      <c r="E37" s="384"/>
    </row>
    <row r="38" spans="1:5" ht="16.5" customHeight="1" x14ac:dyDescent="0.3">
      <c r="A38" s="380" t="s">
        <v>1</v>
      </c>
      <c r="B38" s="381" t="s">
        <v>2</v>
      </c>
    </row>
    <row r="39" spans="1:5" ht="16.5" customHeight="1" x14ac:dyDescent="0.3">
      <c r="A39" s="385" t="s">
        <v>4</v>
      </c>
      <c r="B39" s="382" t="s">
        <v>137</v>
      </c>
      <c r="C39" s="384"/>
      <c r="D39" s="384"/>
      <c r="E39" s="384"/>
    </row>
    <row r="40" spans="1:5" ht="16.5" customHeight="1" x14ac:dyDescent="0.3">
      <c r="A40" s="385" t="s">
        <v>6</v>
      </c>
      <c r="B40" s="386">
        <v>99.3</v>
      </c>
      <c r="C40" s="384"/>
      <c r="D40" s="384"/>
      <c r="E40" s="384"/>
    </row>
    <row r="41" spans="1:5" ht="16.5" customHeight="1" x14ac:dyDescent="0.3">
      <c r="A41" s="382" t="s">
        <v>8</v>
      </c>
      <c r="B41" s="386">
        <v>22.01</v>
      </c>
      <c r="C41" s="384"/>
      <c r="D41" s="384"/>
      <c r="E41" s="384"/>
    </row>
    <row r="42" spans="1:5" ht="16.5" customHeight="1" x14ac:dyDescent="0.3">
      <c r="A42" s="382" t="s">
        <v>10</v>
      </c>
      <c r="B42" s="387">
        <v>3.5216000000000004E-2</v>
      </c>
      <c r="C42" s="384"/>
      <c r="D42" s="384"/>
      <c r="E42" s="384"/>
    </row>
    <row r="43" spans="1:5" ht="15.75" customHeight="1" x14ac:dyDescent="0.25">
      <c r="A43" s="384"/>
      <c r="B43" s="384"/>
      <c r="C43" s="384"/>
      <c r="D43" s="384"/>
      <c r="E43" s="384"/>
    </row>
    <row r="44" spans="1:5" ht="16.5" customHeight="1" x14ac:dyDescent="0.3">
      <c r="A44" s="229" t="s">
        <v>13</v>
      </c>
      <c r="B44" s="388" t="s">
        <v>14</v>
      </c>
      <c r="C44" s="229" t="s">
        <v>15</v>
      </c>
      <c r="D44" s="229" t="s">
        <v>16</v>
      </c>
      <c r="E44" s="229" t="s">
        <v>17</v>
      </c>
    </row>
    <row r="45" spans="1:5" ht="16.5" customHeight="1" x14ac:dyDescent="0.3">
      <c r="A45" s="389">
        <v>1</v>
      </c>
      <c r="B45" s="390">
        <v>2667381</v>
      </c>
      <c r="C45" s="390">
        <v>4816.3</v>
      </c>
      <c r="D45" s="391">
        <v>1.5</v>
      </c>
      <c r="E45" s="392">
        <v>5.5</v>
      </c>
    </row>
    <row r="46" spans="1:5" ht="16.5" customHeight="1" x14ac:dyDescent="0.3">
      <c r="A46" s="389">
        <v>2</v>
      </c>
      <c r="B46" s="390">
        <v>2655784</v>
      </c>
      <c r="C46" s="390">
        <v>4757.7</v>
      </c>
      <c r="D46" s="391">
        <v>1.5</v>
      </c>
      <c r="E46" s="391">
        <v>5.5</v>
      </c>
    </row>
    <row r="47" spans="1:5" ht="16.5" customHeight="1" x14ac:dyDescent="0.3">
      <c r="A47" s="389">
        <v>3</v>
      </c>
      <c r="B47" s="390">
        <v>2649866</v>
      </c>
      <c r="C47" s="390">
        <v>4775.1000000000004</v>
      </c>
      <c r="D47" s="391">
        <v>1.5</v>
      </c>
      <c r="E47" s="391">
        <v>5.5</v>
      </c>
    </row>
    <row r="48" spans="1:5" ht="16.5" customHeight="1" x14ac:dyDescent="0.3">
      <c r="A48" s="389">
        <v>4</v>
      </c>
      <c r="B48" s="390">
        <v>2662595</v>
      </c>
      <c r="C48" s="390">
        <v>4774.5</v>
      </c>
      <c r="D48" s="391">
        <v>1.5</v>
      </c>
      <c r="E48" s="391">
        <v>5.5</v>
      </c>
    </row>
    <row r="49" spans="1:7" ht="16.5" customHeight="1" x14ac:dyDescent="0.3">
      <c r="A49" s="389">
        <v>5</v>
      </c>
      <c r="B49" s="390">
        <v>2618843</v>
      </c>
      <c r="C49" s="390">
        <v>4727.8</v>
      </c>
      <c r="D49" s="391">
        <v>1.5</v>
      </c>
      <c r="E49" s="391">
        <v>5.5</v>
      </c>
    </row>
    <row r="50" spans="1:7" ht="16.5" customHeight="1" x14ac:dyDescent="0.3">
      <c r="A50" s="389">
        <v>6</v>
      </c>
      <c r="B50" s="393">
        <v>2609114</v>
      </c>
      <c r="C50" s="393">
        <v>4763</v>
      </c>
      <c r="D50" s="394">
        <v>1.5</v>
      </c>
      <c r="E50" s="394">
        <v>5.5</v>
      </c>
    </row>
    <row r="51" spans="1:7" ht="16.5" customHeight="1" x14ac:dyDescent="0.3">
      <c r="A51" s="395" t="s">
        <v>18</v>
      </c>
      <c r="B51" s="396">
        <f>AVERAGE(B45:B50)</f>
        <v>2643930.5</v>
      </c>
      <c r="C51" s="397">
        <f>AVERAGE(C45:C50)</f>
        <v>4769.0666666666666</v>
      </c>
      <c r="D51" s="398">
        <f>AVERAGE(D45:D50)</f>
        <v>1.5</v>
      </c>
      <c r="E51" s="398">
        <f>AVERAGE(E45:E50)</f>
        <v>5.5</v>
      </c>
    </row>
    <row r="52" spans="1:7" ht="16.5" customHeight="1" x14ac:dyDescent="0.3">
      <c r="A52" s="399" t="s">
        <v>19</v>
      </c>
      <c r="B52" s="400">
        <f>(STDEV(B45:B50)/B51)</f>
        <v>9.1333199189902112E-3</v>
      </c>
      <c r="C52" s="401"/>
      <c r="D52" s="401"/>
      <c r="E52" s="402"/>
    </row>
    <row r="53" spans="1:7" s="213" customFormat="1" ht="16.5" customHeight="1" x14ac:dyDescent="0.3">
      <c r="A53" s="403" t="s">
        <v>20</v>
      </c>
      <c r="B53" s="404">
        <f>COUNT(B45:B50)</f>
        <v>6</v>
      </c>
      <c r="C53" s="405"/>
      <c r="D53" s="406"/>
      <c r="E53" s="407"/>
    </row>
    <row r="54" spans="1:7" s="213" customFormat="1" ht="15.75" customHeight="1" x14ac:dyDescent="0.25">
      <c r="A54" s="384"/>
      <c r="B54" s="384"/>
      <c r="C54" s="384"/>
      <c r="D54" s="384"/>
      <c r="E54" s="384"/>
    </row>
    <row r="55" spans="1:7" s="213" customFormat="1" ht="16.5" customHeight="1" x14ac:dyDescent="0.3">
      <c r="A55" s="385" t="s">
        <v>21</v>
      </c>
      <c r="B55" s="408" t="s">
        <v>22</v>
      </c>
      <c r="C55" s="409"/>
      <c r="D55" s="409"/>
      <c r="E55" s="409"/>
    </row>
    <row r="56" spans="1:7" ht="16.5" customHeight="1" x14ac:dyDescent="0.3">
      <c r="A56" s="385"/>
      <c r="B56" s="408" t="s">
        <v>23</v>
      </c>
      <c r="C56" s="409"/>
      <c r="D56" s="409"/>
      <c r="E56" s="409"/>
    </row>
    <row r="57" spans="1:7" ht="16.5" customHeight="1" x14ac:dyDescent="0.3">
      <c r="A57" s="385"/>
      <c r="B57" s="408" t="s">
        <v>24</v>
      </c>
      <c r="C57" s="409"/>
      <c r="D57" s="409"/>
      <c r="E57" s="409"/>
    </row>
    <row r="58" spans="1:7" ht="14.25" customHeight="1" thickBot="1" x14ac:dyDescent="0.3">
      <c r="A58" s="410"/>
      <c r="B58" s="267"/>
      <c r="D58" s="411"/>
      <c r="F58" s="215"/>
      <c r="G58" s="215"/>
    </row>
    <row r="59" spans="1:7" ht="15" customHeight="1" x14ac:dyDescent="0.3">
      <c r="B59" s="419" t="s">
        <v>25</v>
      </c>
      <c r="C59" s="419"/>
      <c r="E59" s="412" t="s">
        <v>26</v>
      </c>
      <c r="F59" s="413"/>
      <c r="G59" s="412" t="s">
        <v>27</v>
      </c>
    </row>
    <row r="60" spans="1:7" ht="15" customHeight="1" x14ac:dyDescent="0.3">
      <c r="A60" s="414" t="s">
        <v>28</v>
      </c>
      <c r="B60" s="415"/>
      <c r="C60" s="415"/>
      <c r="E60" s="415"/>
      <c r="G60" s="415"/>
    </row>
    <row r="61" spans="1:7" ht="15" customHeight="1" x14ac:dyDescent="0.3">
      <c r="A61" s="414" t="s">
        <v>29</v>
      </c>
      <c r="B61" s="416"/>
      <c r="C61" s="416"/>
      <c r="E61" s="416"/>
      <c r="G61" s="41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5" sqref="B55"/>
    </sheetView>
  </sheetViews>
  <sheetFormatPr defaultRowHeight="13.5" x14ac:dyDescent="0.25"/>
  <cols>
    <col min="1" max="1" width="27.5703125" style="213" customWidth="1"/>
    <col min="2" max="2" width="20.42578125" style="213" customWidth="1"/>
    <col min="3" max="3" width="31.85546875" style="213" customWidth="1"/>
    <col min="4" max="4" width="25.85546875" style="213" customWidth="1"/>
    <col min="5" max="5" width="25.7109375" style="213" customWidth="1"/>
    <col min="6" max="6" width="23.140625" style="213" customWidth="1"/>
    <col min="7" max="7" width="28.42578125" style="213" customWidth="1"/>
    <col min="8" max="8" width="21.5703125" style="213" customWidth="1"/>
    <col min="9" max="9" width="9.140625" style="213" customWidth="1"/>
    <col min="10" max="16384" width="9.140625" style="215"/>
  </cols>
  <sheetData>
    <row r="14" spans="1:6" ht="15" customHeight="1" x14ac:dyDescent="0.3">
      <c r="A14" s="378"/>
      <c r="C14" s="379"/>
      <c r="F14" s="379"/>
    </row>
    <row r="15" spans="1:6" ht="18.75" customHeight="1" x14ac:dyDescent="0.3">
      <c r="A15" s="418" t="s">
        <v>0</v>
      </c>
      <c r="B15" s="418"/>
      <c r="C15" s="418"/>
      <c r="D15" s="418"/>
      <c r="E15" s="418"/>
    </row>
    <row r="16" spans="1:6" ht="16.5" customHeight="1" x14ac:dyDescent="0.3">
      <c r="A16" s="380" t="s">
        <v>1</v>
      </c>
      <c r="B16" s="381" t="s">
        <v>2</v>
      </c>
    </row>
    <row r="17" spans="1:5" ht="16.5" customHeight="1" x14ac:dyDescent="0.3">
      <c r="A17" s="382" t="s">
        <v>3</v>
      </c>
      <c r="B17" s="382" t="s">
        <v>130</v>
      </c>
      <c r="D17" s="383"/>
      <c r="E17" s="384"/>
    </row>
    <row r="18" spans="1:5" ht="16.5" customHeight="1" x14ac:dyDescent="0.3">
      <c r="A18" s="385" t="s">
        <v>4</v>
      </c>
      <c r="B18" s="382" t="s">
        <v>136</v>
      </c>
      <c r="C18" s="384"/>
      <c r="D18" s="384"/>
      <c r="E18" s="384"/>
    </row>
    <row r="19" spans="1:5" ht="16.5" customHeight="1" x14ac:dyDescent="0.3">
      <c r="A19" s="385" t="s">
        <v>6</v>
      </c>
      <c r="B19" s="386">
        <v>99.02</v>
      </c>
      <c r="C19" s="384"/>
      <c r="D19" s="384"/>
      <c r="E19" s="384"/>
    </row>
    <row r="20" spans="1:5" ht="16.5" customHeight="1" x14ac:dyDescent="0.3">
      <c r="A20" s="382" t="s">
        <v>8</v>
      </c>
      <c r="B20" s="386">
        <v>16.5</v>
      </c>
      <c r="C20" s="384"/>
      <c r="D20" s="384"/>
      <c r="E20" s="384"/>
    </row>
    <row r="21" spans="1:5" ht="16.5" customHeight="1" x14ac:dyDescent="0.3">
      <c r="A21" s="382" t="s">
        <v>10</v>
      </c>
      <c r="B21" s="387">
        <f>B20/100</f>
        <v>0.16500000000000001</v>
      </c>
      <c r="C21" s="384"/>
      <c r="D21" s="384"/>
      <c r="E21" s="384"/>
    </row>
    <row r="22" spans="1:5" ht="15.75" customHeight="1" x14ac:dyDescent="0.25">
      <c r="A22" s="384"/>
      <c r="B22" s="384" t="s">
        <v>131</v>
      </c>
      <c r="C22" s="384"/>
      <c r="D22" s="384"/>
      <c r="E22" s="384"/>
    </row>
    <row r="23" spans="1:5" ht="16.5" customHeight="1" x14ac:dyDescent="0.3">
      <c r="A23" s="229" t="s">
        <v>13</v>
      </c>
      <c r="B23" s="388" t="s">
        <v>14</v>
      </c>
      <c r="C23" s="229" t="s">
        <v>15</v>
      </c>
      <c r="D23" s="229" t="s">
        <v>16</v>
      </c>
      <c r="E23" s="229" t="s">
        <v>17</v>
      </c>
    </row>
    <row r="24" spans="1:5" ht="16.5" customHeight="1" x14ac:dyDescent="0.3">
      <c r="A24" s="389">
        <v>1</v>
      </c>
      <c r="B24" s="390">
        <v>39170467</v>
      </c>
      <c r="C24" s="390">
        <v>7160</v>
      </c>
      <c r="D24" s="391">
        <v>1.1000000000000001</v>
      </c>
      <c r="E24" s="392">
        <v>10</v>
      </c>
    </row>
    <row r="25" spans="1:5" ht="16.5" customHeight="1" x14ac:dyDescent="0.3">
      <c r="A25" s="389">
        <v>2</v>
      </c>
      <c r="B25" s="390">
        <v>39029641</v>
      </c>
      <c r="C25" s="390">
        <v>7089.6</v>
      </c>
      <c r="D25" s="391">
        <v>1.1000000000000001</v>
      </c>
      <c r="E25" s="391">
        <v>10</v>
      </c>
    </row>
    <row r="26" spans="1:5" ht="16.5" customHeight="1" x14ac:dyDescent="0.3">
      <c r="A26" s="389">
        <v>3</v>
      </c>
      <c r="B26" s="390">
        <v>39033788</v>
      </c>
      <c r="C26" s="390">
        <v>7091</v>
      </c>
      <c r="D26" s="391">
        <v>1.1000000000000001</v>
      </c>
      <c r="E26" s="391">
        <v>10</v>
      </c>
    </row>
    <row r="27" spans="1:5" ht="16.5" customHeight="1" x14ac:dyDescent="0.3">
      <c r="A27" s="389">
        <v>4</v>
      </c>
      <c r="B27" s="390">
        <v>38994254</v>
      </c>
      <c r="C27" s="390">
        <v>7021.4</v>
      </c>
      <c r="D27" s="391">
        <v>1.1000000000000001</v>
      </c>
      <c r="E27" s="391">
        <v>10</v>
      </c>
    </row>
    <row r="28" spans="1:5" ht="16.5" customHeight="1" x14ac:dyDescent="0.3">
      <c r="A28" s="389">
        <v>5</v>
      </c>
      <c r="B28" s="390">
        <v>38478943</v>
      </c>
      <c r="C28" s="390">
        <v>7047.4</v>
      </c>
      <c r="D28" s="391">
        <v>1.1000000000000001</v>
      </c>
      <c r="E28" s="391">
        <v>10</v>
      </c>
    </row>
    <row r="29" spans="1:5" ht="16.5" customHeight="1" x14ac:dyDescent="0.3">
      <c r="A29" s="389">
        <v>6</v>
      </c>
      <c r="B29" s="393">
        <v>38412583</v>
      </c>
      <c r="C29" s="393">
        <v>7158.7</v>
      </c>
      <c r="D29" s="394">
        <v>1.1000000000000001</v>
      </c>
      <c r="E29" s="394">
        <v>10</v>
      </c>
    </row>
    <row r="30" spans="1:5" ht="16.5" customHeight="1" x14ac:dyDescent="0.3">
      <c r="A30" s="395" t="s">
        <v>18</v>
      </c>
      <c r="B30" s="396">
        <f>AVERAGE(B24:B29)</f>
        <v>38853279.333333336</v>
      </c>
      <c r="C30" s="397">
        <f>AVERAGE(C24:C29)</f>
        <v>7094.6833333333334</v>
      </c>
      <c r="D30" s="398">
        <f>AVERAGE(D24:D29)</f>
        <v>1.0999999999999999</v>
      </c>
      <c r="E30" s="398">
        <f>AVERAGE(E24:E29)</f>
        <v>10</v>
      </c>
    </row>
    <row r="31" spans="1:5" ht="16.5" customHeight="1" x14ac:dyDescent="0.3">
      <c r="A31" s="399" t="s">
        <v>19</v>
      </c>
      <c r="B31" s="400">
        <f>(STDEV(B24:B29)/B30)</f>
        <v>8.2883051836509306E-3</v>
      </c>
      <c r="C31" s="401"/>
      <c r="D31" s="401"/>
      <c r="E31" s="402"/>
    </row>
    <row r="32" spans="1:5" s="213" customFormat="1" ht="16.5" customHeight="1" x14ac:dyDescent="0.3">
      <c r="A32" s="403" t="s">
        <v>20</v>
      </c>
      <c r="B32" s="404">
        <f>COUNT(B24:B29)</f>
        <v>6</v>
      </c>
      <c r="C32" s="405"/>
      <c r="D32" s="406"/>
      <c r="E32" s="407"/>
    </row>
    <row r="33" spans="1:5" s="213" customFormat="1" ht="15.75" customHeight="1" x14ac:dyDescent="0.25">
      <c r="A33" s="384"/>
      <c r="B33" s="384"/>
      <c r="C33" s="384"/>
      <c r="D33" s="384"/>
      <c r="E33" s="384"/>
    </row>
    <row r="34" spans="1:5" s="213" customFormat="1" ht="16.5" customHeight="1" x14ac:dyDescent="0.3">
      <c r="A34" s="385" t="s">
        <v>21</v>
      </c>
      <c r="B34" s="408" t="s">
        <v>22</v>
      </c>
      <c r="C34" s="409"/>
      <c r="D34" s="409"/>
      <c r="E34" s="409"/>
    </row>
    <row r="35" spans="1:5" ht="16.5" customHeight="1" x14ac:dyDescent="0.3">
      <c r="A35" s="385"/>
      <c r="B35" s="408" t="s">
        <v>23</v>
      </c>
      <c r="C35" s="409"/>
      <c r="D35" s="409"/>
      <c r="E35" s="409"/>
    </row>
    <row r="36" spans="1:5" ht="16.5" customHeight="1" x14ac:dyDescent="0.3">
      <c r="A36" s="385"/>
      <c r="B36" s="408" t="s">
        <v>24</v>
      </c>
      <c r="C36" s="409"/>
      <c r="D36" s="409"/>
      <c r="E36" s="409"/>
    </row>
    <row r="37" spans="1:5" ht="15.75" customHeight="1" x14ac:dyDescent="0.25">
      <c r="A37" s="384"/>
      <c r="B37" s="384"/>
      <c r="C37" s="384"/>
      <c r="D37" s="384"/>
      <c r="E37" s="384"/>
    </row>
    <row r="38" spans="1:5" ht="16.5" customHeight="1" x14ac:dyDescent="0.3">
      <c r="A38" s="380" t="s">
        <v>1</v>
      </c>
      <c r="B38" s="381" t="s">
        <v>2</v>
      </c>
    </row>
    <row r="39" spans="1:5" ht="16.5" customHeight="1" x14ac:dyDescent="0.3">
      <c r="A39" s="385" t="s">
        <v>4</v>
      </c>
      <c r="B39" s="382" t="s">
        <v>136</v>
      </c>
      <c r="C39" s="384"/>
      <c r="D39" s="384"/>
      <c r="E39" s="384"/>
    </row>
    <row r="40" spans="1:5" ht="16.5" customHeight="1" x14ac:dyDescent="0.3">
      <c r="A40" s="385" t="s">
        <v>6</v>
      </c>
      <c r="B40" s="386">
        <v>99.02</v>
      </c>
      <c r="C40" s="384"/>
      <c r="D40" s="384"/>
      <c r="E40" s="384"/>
    </row>
    <row r="41" spans="1:5" ht="16.5" customHeight="1" x14ac:dyDescent="0.3">
      <c r="A41" s="382" t="s">
        <v>8</v>
      </c>
      <c r="B41" s="386">
        <v>16.5</v>
      </c>
      <c r="C41" s="384"/>
      <c r="D41" s="384"/>
      <c r="E41" s="384"/>
    </row>
    <row r="42" spans="1:5" ht="16.5" customHeight="1" x14ac:dyDescent="0.3">
      <c r="A42" s="382" t="s">
        <v>10</v>
      </c>
      <c r="B42" s="387">
        <f>B41/100</f>
        <v>0.16500000000000001</v>
      </c>
      <c r="C42" s="384"/>
      <c r="D42" s="384"/>
      <c r="E42" s="384"/>
    </row>
    <row r="43" spans="1:5" ht="15.75" customHeight="1" x14ac:dyDescent="0.25">
      <c r="A43" s="384"/>
      <c r="B43" s="384"/>
      <c r="C43" s="384"/>
      <c r="D43" s="384"/>
      <c r="E43" s="384"/>
    </row>
    <row r="44" spans="1:5" ht="16.5" customHeight="1" x14ac:dyDescent="0.3">
      <c r="A44" s="229" t="s">
        <v>13</v>
      </c>
      <c r="B44" s="388" t="s">
        <v>14</v>
      </c>
      <c r="C44" s="229" t="s">
        <v>15</v>
      </c>
      <c r="D44" s="229" t="s">
        <v>16</v>
      </c>
      <c r="E44" s="229" t="s">
        <v>17</v>
      </c>
    </row>
    <row r="45" spans="1:5" ht="16.5" customHeight="1" x14ac:dyDescent="0.3">
      <c r="A45" s="389">
        <v>1</v>
      </c>
      <c r="B45" s="390">
        <v>39170467</v>
      </c>
      <c r="C45" s="390">
        <v>7160</v>
      </c>
      <c r="D45" s="391">
        <v>1.1000000000000001</v>
      </c>
      <c r="E45" s="392">
        <v>10</v>
      </c>
    </row>
    <row r="46" spans="1:5" ht="16.5" customHeight="1" x14ac:dyDescent="0.3">
      <c r="A46" s="389">
        <v>2</v>
      </c>
      <c r="B46" s="390">
        <v>39029641</v>
      </c>
      <c r="C46" s="390">
        <v>7089.6</v>
      </c>
      <c r="D46" s="391">
        <v>1.1000000000000001</v>
      </c>
      <c r="E46" s="391">
        <v>10</v>
      </c>
    </row>
    <row r="47" spans="1:5" ht="16.5" customHeight="1" x14ac:dyDescent="0.3">
      <c r="A47" s="389">
        <v>3</v>
      </c>
      <c r="B47" s="390">
        <v>39033788</v>
      </c>
      <c r="C47" s="390">
        <v>7091</v>
      </c>
      <c r="D47" s="391">
        <v>1.1000000000000001</v>
      </c>
      <c r="E47" s="391">
        <v>10</v>
      </c>
    </row>
    <row r="48" spans="1:5" ht="16.5" customHeight="1" x14ac:dyDescent="0.3">
      <c r="A48" s="389">
        <v>4</v>
      </c>
      <c r="B48" s="390">
        <v>38994254</v>
      </c>
      <c r="C48" s="390">
        <v>7021.4</v>
      </c>
      <c r="D48" s="391">
        <v>1.1000000000000001</v>
      </c>
      <c r="E48" s="391">
        <v>10</v>
      </c>
    </row>
    <row r="49" spans="1:7" ht="16.5" customHeight="1" x14ac:dyDescent="0.3">
      <c r="A49" s="389">
        <v>5</v>
      </c>
      <c r="B49" s="390">
        <v>38478943</v>
      </c>
      <c r="C49" s="390">
        <v>7047.4</v>
      </c>
      <c r="D49" s="391">
        <v>1.1000000000000001</v>
      </c>
      <c r="E49" s="391">
        <v>10</v>
      </c>
    </row>
    <row r="50" spans="1:7" ht="16.5" customHeight="1" x14ac:dyDescent="0.3">
      <c r="A50" s="389">
        <v>6</v>
      </c>
      <c r="B50" s="393">
        <v>38412583</v>
      </c>
      <c r="C50" s="393">
        <v>7158.7</v>
      </c>
      <c r="D50" s="394">
        <v>1.1000000000000001</v>
      </c>
      <c r="E50" s="394">
        <v>10</v>
      </c>
    </row>
    <row r="51" spans="1:7" ht="16.5" customHeight="1" x14ac:dyDescent="0.3">
      <c r="A51" s="395" t="s">
        <v>18</v>
      </c>
      <c r="B51" s="396">
        <f>AVERAGE(B45:B50)</f>
        <v>38853279.333333336</v>
      </c>
      <c r="C51" s="397">
        <f>AVERAGE(C45:C50)</f>
        <v>7094.6833333333334</v>
      </c>
      <c r="D51" s="398">
        <f>AVERAGE(D45:D50)</f>
        <v>1.0999999999999999</v>
      </c>
      <c r="E51" s="398">
        <f>AVERAGE(E45:E50)</f>
        <v>10</v>
      </c>
    </row>
    <row r="52" spans="1:7" ht="16.5" customHeight="1" x14ac:dyDescent="0.3">
      <c r="A52" s="399" t="s">
        <v>19</v>
      </c>
      <c r="B52" s="400">
        <f>(STDEV(B45:B50)/B51)</f>
        <v>8.2883051836509306E-3</v>
      </c>
      <c r="C52" s="401"/>
      <c r="D52" s="401"/>
      <c r="E52" s="402"/>
    </row>
    <row r="53" spans="1:7" s="213" customFormat="1" ht="16.5" customHeight="1" x14ac:dyDescent="0.3">
      <c r="A53" s="403" t="s">
        <v>20</v>
      </c>
      <c r="B53" s="404">
        <f>COUNT(B45:B50)</f>
        <v>6</v>
      </c>
      <c r="C53" s="405"/>
      <c r="D53" s="406"/>
      <c r="E53" s="407"/>
    </row>
    <row r="54" spans="1:7" s="213" customFormat="1" ht="15.75" customHeight="1" x14ac:dyDescent="0.25">
      <c r="A54" s="384"/>
      <c r="B54" s="384"/>
      <c r="C54" s="384"/>
      <c r="D54" s="384"/>
      <c r="E54" s="384"/>
    </row>
    <row r="55" spans="1:7" s="213" customFormat="1" ht="16.5" customHeight="1" x14ac:dyDescent="0.3">
      <c r="A55" s="385" t="s">
        <v>21</v>
      </c>
      <c r="B55" s="408" t="s">
        <v>22</v>
      </c>
      <c r="C55" s="409"/>
      <c r="D55" s="409"/>
      <c r="E55" s="409"/>
    </row>
    <row r="56" spans="1:7" ht="16.5" customHeight="1" x14ac:dyDescent="0.3">
      <c r="A56" s="385"/>
      <c r="B56" s="408" t="s">
        <v>23</v>
      </c>
      <c r="C56" s="409"/>
      <c r="D56" s="409"/>
      <c r="E56" s="409"/>
    </row>
    <row r="57" spans="1:7" ht="16.5" customHeight="1" x14ac:dyDescent="0.3">
      <c r="A57" s="385"/>
      <c r="B57" s="408" t="s">
        <v>24</v>
      </c>
      <c r="C57" s="409"/>
      <c r="D57" s="409"/>
      <c r="E57" s="409"/>
    </row>
    <row r="58" spans="1:7" ht="14.25" customHeight="1" thickBot="1" x14ac:dyDescent="0.3">
      <c r="A58" s="410"/>
      <c r="B58" s="267"/>
      <c r="D58" s="411"/>
      <c r="F58" s="215"/>
      <c r="G58" s="215"/>
    </row>
    <row r="59" spans="1:7" ht="15" customHeight="1" x14ac:dyDescent="0.3">
      <c r="B59" s="419" t="s">
        <v>25</v>
      </c>
      <c r="C59" s="419"/>
      <c r="E59" s="412" t="s">
        <v>26</v>
      </c>
      <c r="F59" s="413"/>
      <c r="G59" s="412" t="s">
        <v>27</v>
      </c>
    </row>
    <row r="60" spans="1:7" ht="15" customHeight="1" x14ac:dyDescent="0.3">
      <c r="A60" s="414" t="s">
        <v>28</v>
      </c>
      <c r="B60" s="415"/>
      <c r="C60" s="415"/>
      <c r="E60" s="415"/>
      <c r="G60" s="415"/>
    </row>
    <row r="61" spans="1:7" ht="15" customHeight="1" x14ac:dyDescent="0.3">
      <c r="A61" s="414" t="s">
        <v>29</v>
      </c>
      <c r="B61" s="416"/>
      <c r="C61" s="416"/>
      <c r="E61" s="416"/>
      <c r="G61" s="41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2" zoomScale="42" zoomScaleNormal="40" zoomScalePageLayoutView="42" workbookViewId="0">
      <selection activeCell="C130" sqref="C130"/>
    </sheetView>
  </sheetViews>
  <sheetFormatPr defaultColWidth="9.140625" defaultRowHeight="13.5" x14ac:dyDescent="0.25"/>
  <cols>
    <col min="1" max="1" width="55.42578125" style="213" customWidth="1"/>
    <col min="2" max="2" width="33.7109375" style="213" customWidth="1"/>
    <col min="3" max="3" width="42.28515625" style="213" customWidth="1"/>
    <col min="4" max="4" width="30.5703125" style="213" customWidth="1"/>
    <col min="5" max="5" width="39.85546875" style="213" customWidth="1"/>
    <col min="6" max="6" width="30.7109375" style="213" customWidth="1"/>
    <col min="7" max="7" width="39.85546875" style="213" customWidth="1"/>
    <col min="8" max="8" width="30" style="213" customWidth="1"/>
    <col min="9" max="9" width="30.28515625" style="213" hidden="1" customWidth="1"/>
    <col min="10" max="10" width="30.42578125" style="213" customWidth="1"/>
    <col min="11" max="11" width="21.28515625" style="213" customWidth="1"/>
    <col min="12" max="12" width="9.140625" style="213"/>
    <col min="13" max="16384" width="9.140625" style="215"/>
  </cols>
  <sheetData>
    <row r="1" spans="1:9" ht="18.75" customHeight="1" x14ac:dyDescent="0.25">
      <c r="A1" s="423" t="s">
        <v>44</v>
      </c>
      <c r="B1" s="423"/>
      <c r="C1" s="423"/>
      <c r="D1" s="423"/>
      <c r="E1" s="423"/>
      <c r="F1" s="423"/>
      <c r="G1" s="423"/>
      <c r="H1" s="423"/>
      <c r="I1" s="423"/>
    </row>
    <row r="2" spans="1:9" ht="18.75" customHeight="1" x14ac:dyDescent="0.25">
      <c r="A2" s="423"/>
      <c r="B2" s="423"/>
      <c r="C2" s="423"/>
      <c r="D2" s="423"/>
      <c r="E2" s="423"/>
      <c r="F2" s="423"/>
      <c r="G2" s="423"/>
      <c r="H2" s="423"/>
      <c r="I2" s="423"/>
    </row>
    <row r="3" spans="1:9" ht="18.75" customHeight="1" x14ac:dyDescent="0.25">
      <c r="A3" s="423"/>
      <c r="B3" s="423"/>
      <c r="C3" s="423"/>
      <c r="D3" s="423"/>
      <c r="E3" s="423"/>
      <c r="F3" s="423"/>
      <c r="G3" s="423"/>
      <c r="H3" s="423"/>
      <c r="I3" s="423"/>
    </row>
    <row r="4" spans="1:9" ht="18.75" customHeight="1" x14ac:dyDescent="0.25">
      <c r="A4" s="423"/>
      <c r="B4" s="423"/>
      <c r="C4" s="423"/>
      <c r="D4" s="423"/>
      <c r="E4" s="423"/>
      <c r="F4" s="423"/>
      <c r="G4" s="423"/>
      <c r="H4" s="423"/>
      <c r="I4" s="423"/>
    </row>
    <row r="5" spans="1:9" ht="18.75" customHeight="1" x14ac:dyDescent="0.25">
      <c r="A5" s="423"/>
      <c r="B5" s="423"/>
      <c r="C5" s="423"/>
      <c r="D5" s="423"/>
      <c r="E5" s="423"/>
      <c r="F5" s="423"/>
      <c r="G5" s="423"/>
      <c r="H5" s="423"/>
      <c r="I5" s="423"/>
    </row>
    <row r="6" spans="1:9" ht="18.75" customHeight="1" x14ac:dyDescent="0.25">
      <c r="A6" s="423"/>
      <c r="B6" s="423"/>
      <c r="C6" s="423"/>
      <c r="D6" s="423"/>
      <c r="E6" s="423"/>
      <c r="F6" s="423"/>
      <c r="G6" s="423"/>
      <c r="H6" s="423"/>
      <c r="I6" s="423"/>
    </row>
    <row r="7" spans="1:9" ht="18.75" customHeight="1" x14ac:dyDescent="0.25">
      <c r="A7" s="423"/>
      <c r="B7" s="423"/>
      <c r="C7" s="423"/>
      <c r="D7" s="423"/>
      <c r="E7" s="423"/>
      <c r="F7" s="423"/>
      <c r="G7" s="423"/>
      <c r="H7" s="423"/>
      <c r="I7" s="423"/>
    </row>
    <row r="8" spans="1:9" x14ac:dyDescent="0.25">
      <c r="A8" s="424" t="s">
        <v>45</v>
      </c>
      <c r="B8" s="424"/>
      <c r="C8" s="424"/>
      <c r="D8" s="424"/>
      <c r="E8" s="424"/>
      <c r="F8" s="424"/>
      <c r="G8" s="424"/>
      <c r="H8" s="424"/>
      <c r="I8" s="424"/>
    </row>
    <row r="9" spans="1:9" x14ac:dyDescent="0.25">
      <c r="A9" s="424"/>
      <c r="B9" s="424"/>
      <c r="C9" s="424"/>
      <c r="D9" s="424"/>
      <c r="E9" s="424"/>
      <c r="F9" s="424"/>
      <c r="G9" s="424"/>
      <c r="H9" s="424"/>
      <c r="I9" s="424"/>
    </row>
    <row r="10" spans="1:9" x14ac:dyDescent="0.25">
      <c r="A10" s="424"/>
      <c r="B10" s="424"/>
      <c r="C10" s="424"/>
      <c r="D10" s="424"/>
      <c r="E10" s="424"/>
      <c r="F10" s="424"/>
      <c r="G10" s="424"/>
      <c r="H10" s="424"/>
      <c r="I10" s="424"/>
    </row>
    <row r="11" spans="1:9" x14ac:dyDescent="0.25">
      <c r="A11" s="424"/>
      <c r="B11" s="424"/>
      <c r="C11" s="424"/>
      <c r="D11" s="424"/>
      <c r="E11" s="424"/>
      <c r="F11" s="424"/>
      <c r="G11" s="424"/>
      <c r="H11" s="424"/>
      <c r="I11" s="424"/>
    </row>
    <row r="12" spans="1:9" x14ac:dyDescent="0.25">
      <c r="A12" s="424"/>
      <c r="B12" s="424"/>
      <c r="C12" s="424"/>
      <c r="D12" s="424"/>
      <c r="E12" s="424"/>
      <c r="F12" s="424"/>
      <c r="G12" s="424"/>
      <c r="H12" s="424"/>
      <c r="I12" s="424"/>
    </row>
    <row r="13" spans="1:9" x14ac:dyDescent="0.25">
      <c r="A13" s="424"/>
      <c r="B13" s="424"/>
      <c r="C13" s="424"/>
      <c r="D13" s="424"/>
      <c r="E13" s="424"/>
      <c r="F13" s="424"/>
      <c r="G13" s="424"/>
      <c r="H13" s="424"/>
      <c r="I13" s="424"/>
    </row>
    <row r="14" spans="1:9" x14ac:dyDescent="0.25">
      <c r="A14" s="424"/>
      <c r="B14" s="424"/>
      <c r="C14" s="424"/>
      <c r="D14" s="424"/>
      <c r="E14" s="424"/>
      <c r="F14" s="424"/>
      <c r="G14" s="424"/>
      <c r="H14" s="424"/>
      <c r="I14" s="424"/>
    </row>
    <row r="15" spans="1:9" ht="19.5" customHeight="1" thickBot="1" x14ac:dyDescent="0.35">
      <c r="A15" s="214"/>
    </row>
    <row r="16" spans="1:9" ht="19.5" customHeight="1" thickBot="1" x14ac:dyDescent="0.35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16" t="s">
        <v>32</v>
      </c>
      <c r="B18" s="429" t="s">
        <v>130</v>
      </c>
      <c r="C18" s="429"/>
      <c r="D18" s="217"/>
      <c r="E18" s="218"/>
      <c r="F18" s="219"/>
      <c r="G18" s="219"/>
      <c r="H18" s="219"/>
    </row>
    <row r="19" spans="1:14" ht="26.25" customHeight="1" x14ac:dyDescent="0.4">
      <c r="A19" s="216" t="s">
        <v>33</v>
      </c>
      <c r="B19" s="220" t="s">
        <v>7</v>
      </c>
      <c r="C19" s="219">
        <v>1</v>
      </c>
      <c r="D19" s="219"/>
      <c r="E19" s="219"/>
      <c r="F19" s="219"/>
      <c r="G19" s="219"/>
      <c r="H19" s="219"/>
    </row>
    <row r="20" spans="1:14" ht="26.25" customHeight="1" x14ac:dyDescent="0.4">
      <c r="A20" s="216" t="s">
        <v>34</v>
      </c>
      <c r="B20" s="430" t="s">
        <v>9</v>
      </c>
      <c r="C20" s="430"/>
      <c r="D20" s="219"/>
      <c r="E20" s="219"/>
      <c r="F20" s="219"/>
      <c r="G20" s="219"/>
      <c r="H20" s="219"/>
    </row>
    <row r="21" spans="1:14" ht="26.25" customHeight="1" x14ac:dyDescent="0.4">
      <c r="A21" s="216" t="s">
        <v>35</v>
      </c>
      <c r="B21" s="430" t="s">
        <v>9</v>
      </c>
      <c r="C21" s="430"/>
      <c r="D21" s="430"/>
      <c r="E21" s="430"/>
      <c r="F21" s="430"/>
      <c r="G21" s="430"/>
      <c r="H21" s="430"/>
      <c r="I21" s="221"/>
    </row>
    <row r="22" spans="1:14" ht="26.25" customHeight="1" x14ac:dyDescent="0.4">
      <c r="A22" s="216" t="s">
        <v>36</v>
      </c>
      <c r="B22" s="222" t="s">
        <v>131</v>
      </c>
      <c r="C22" s="219"/>
      <c r="D22" s="219"/>
      <c r="E22" s="219"/>
      <c r="F22" s="219"/>
      <c r="G22" s="219"/>
      <c r="H22" s="219"/>
    </row>
    <row r="23" spans="1:14" ht="26.25" customHeight="1" x14ac:dyDescent="0.4">
      <c r="A23" s="216" t="s">
        <v>37</v>
      </c>
      <c r="B23" s="222"/>
      <c r="C23" s="219"/>
      <c r="D23" s="219"/>
      <c r="E23" s="219"/>
      <c r="F23" s="219"/>
      <c r="G23" s="219"/>
      <c r="H23" s="219"/>
    </row>
    <row r="24" spans="1:14" ht="18.75" x14ac:dyDescent="0.3">
      <c r="A24" s="216"/>
      <c r="B24" s="223"/>
    </row>
    <row r="25" spans="1:14" ht="18.75" x14ac:dyDescent="0.3">
      <c r="A25" s="224" t="s">
        <v>1</v>
      </c>
      <c r="B25" s="223"/>
    </row>
    <row r="26" spans="1:14" ht="26.25" customHeight="1" x14ac:dyDescent="0.4">
      <c r="A26" s="225" t="s">
        <v>4</v>
      </c>
      <c r="B26" s="429" t="s">
        <v>134</v>
      </c>
      <c r="C26" s="429"/>
    </row>
    <row r="27" spans="1:14" ht="26.25" customHeight="1" x14ac:dyDescent="0.4">
      <c r="A27" s="226" t="s">
        <v>47</v>
      </c>
      <c r="B27" s="431" t="s">
        <v>135</v>
      </c>
      <c r="C27" s="431"/>
    </row>
    <row r="28" spans="1:14" ht="27" customHeight="1" thickBot="1" x14ac:dyDescent="0.45">
      <c r="A28" s="226" t="s">
        <v>6</v>
      </c>
      <c r="B28" s="227">
        <v>99.02</v>
      </c>
    </row>
    <row r="29" spans="1:14" s="229" customFormat="1" ht="27" customHeight="1" thickBot="1" x14ac:dyDescent="0.45">
      <c r="A29" s="226" t="s">
        <v>48</v>
      </c>
      <c r="B29" s="228">
        <v>0</v>
      </c>
      <c r="C29" s="432" t="s">
        <v>49</v>
      </c>
      <c r="D29" s="433"/>
      <c r="E29" s="433"/>
      <c r="F29" s="433"/>
      <c r="G29" s="434"/>
      <c r="I29" s="230"/>
      <c r="J29" s="230"/>
      <c r="K29" s="230"/>
      <c r="L29" s="230"/>
    </row>
    <row r="30" spans="1:14" s="229" customFormat="1" ht="19.5" customHeight="1" thickBot="1" x14ac:dyDescent="0.35">
      <c r="A30" s="226" t="s">
        <v>50</v>
      </c>
      <c r="B30" s="231">
        <f>B28-B29</f>
        <v>99.02</v>
      </c>
      <c r="C30" s="232"/>
      <c r="D30" s="232"/>
      <c r="E30" s="232"/>
      <c r="F30" s="232"/>
      <c r="G30" s="233"/>
      <c r="I30" s="230"/>
      <c r="J30" s="230"/>
      <c r="K30" s="230"/>
      <c r="L30" s="230"/>
    </row>
    <row r="31" spans="1:14" s="229" customFormat="1" ht="27" customHeight="1" thickBot="1" x14ac:dyDescent="0.45">
      <c r="A31" s="226" t="s">
        <v>51</v>
      </c>
      <c r="B31" s="234">
        <v>1</v>
      </c>
      <c r="C31" s="420" t="s">
        <v>52</v>
      </c>
      <c r="D31" s="421"/>
      <c r="E31" s="421"/>
      <c r="F31" s="421"/>
      <c r="G31" s="421"/>
      <c r="H31" s="422"/>
      <c r="I31" s="230"/>
      <c r="J31" s="230"/>
      <c r="K31" s="230"/>
      <c r="L31" s="230"/>
    </row>
    <row r="32" spans="1:14" s="229" customFormat="1" ht="27" customHeight="1" thickBot="1" x14ac:dyDescent="0.45">
      <c r="A32" s="226" t="s">
        <v>53</v>
      </c>
      <c r="B32" s="234">
        <v>1</v>
      </c>
      <c r="C32" s="420" t="s">
        <v>54</v>
      </c>
      <c r="D32" s="421"/>
      <c r="E32" s="421"/>
      <c r="F32" s="421"/>
      <c r="G32" s="421"/>
      <c r="H32" s="422"/>
      <c r="I32" s="230"/>
      <c r="J32" s="230"/>
      <c r="K32" s="230"/>
      <c r="L32" s="235"/>
      <c r="M32" s="235"/>
      <c r="N32" s="236"/>
    </row>
    <row r="33" spans="1:14" s="229" customFormat="1" ht="17.25" customHeight="1" x14ac:dyDescent="0.3">
      <c r="A33" s="226"/>
      <c r="B33" s="237"/>
      <c r="C33" s="238"/>
      <c r="D33" s="238"/>
      <c r="E33" s="238"/>
      <c r="F33" s="238"/>
      <c r="G33" s="238"/>
      <c r="H33" s="238"/>
      <c r="I33" s="230"/>
      <c r="J33" s="230"/>
      <c r="K33" s="230"/>
      <c r="L33" s="235"/>
      <c r="M33" s="235"/>
      <c r="N33" s="236"/>
    </row>
    <row r="34" spans="1:14" s="229" customFormat="1" ht="18.75" x14ac:dyDescent="0.3">
      <c r="A34" s="226" t="s">
        <v>55</v>
      </c>
      <c r="B34" s="239">
        <f>B31/B32</f>
        <v>1</v>
      </c>
      <c r="C34" s="214" t="s">
        <v>56</v>
      </c>
      <c r="D34" s="214"/>
      <c r="E34" s="214"/>
      <c r="F34" s="214"/>
      <c r="G34" s="214"/>
      <c r="I34" s="230"/>
      <c r="J34" s="230"/>
      <c r="K34" s="230"/>
      <c r="L34" s="235"/>
      <c r="M34" s="235"/>
      <c r="N34" s="236"/>
    </row>
    <row r="35" spans="1:14" s="229" customFormat="1" ht="19.5" customHeight="1" thickBot="1" x14ac:dyDescent="0.35">
      <c r="A35" s="226"/>
      <c r="B35" s="231"/>
      <c r="G35" s="214"/>
      <c r="I35" s="230"/>
      <c r="J35" s="230"/>
      <c r="K35" s="230"/>
      <c r="L35" s="235"/>
      <c r="M35" s="235"/>
      <c r="N35" s="236"/>
    </row>
    <row r="36" spans="1:14" s="229" customFormat="1" ht="27" customHeight="1" thickBot="1" x14ac:dyDescent="0.45">
      <c r="A36" s="240" t="s">
        <v>57</v>
      </c>
      <c r="B36" s="241">
        <v>100</v>
      </c>
      <c r="C36" s="214"/>
      <c r="D36" s="436" t="s">
        <v>58</v>
      </c>
      <c r="E36" s="437"/>
      <c r="F36" s="436" t="s">
        <v>59</v>
      </c>
      <c r="G36" s="438"/>
      <c r="J36" s="230"/>
      <c r="K36" s="230"/>
      <c r="L36" s="235"/>
      <c r="M36" s="235"/>
      <c r="N36" s="236"/>
    </row>
    <row r="37" spans="1:14" s="229" customFormat="1" ht="27" customHeight="1" thickBot="1" x14ac:dyDescent="0.45">
      <c r="A37" s="242" t="s">
        <v>60</v>
      </c>
      <c r="B37" s="243">
        <v>1</v>
      </c>
      <c r="C37" s="244" t="s">
        <v>61</v>
      </c>
      <c r="D37" s="245" t="s">
        <v>62</v>
      </c>
      <c r="E37" s="246" t="s">
        <v>63</v>
      </c>
      <c r="F37" s="245" t="s">
        <v>62</v>
      </c>
      <c r="G37" s="247" t="s">
        <v>63</v>
      </c>
      <c r="I37" s="248" t="s">
        <v>64</v>
      </c>
      <c r="J37" s="230"/>
      <c r="K37" s="230"/>
      <c r="L37" s="235"/>
      <c r="M37" s="235"/>
      <c r="N37" s="236"/>
    </row>
    <row r="38" spans="1:14" s="229" customFormat="1" ht="26.25" customHeight="1" x14ac:dyDescent="0.4">
      <c r="A38" s="242" t="s">
        <v>65</v>
      </c>
      <c r="B38" s="243">
        <v>1</v>
      </c>
      <c r="C38" s="249">
        <v>1</v>
      </c>
      <c r="D38" s="250">
        <v>39218046</v>
      </c>
      <c r="E38" s="251">
        <f>IF(ISBLANK(D38),"-",$D$48/$D$45*D38)</f>
        <v>38405999.155358881</v>
      </c>
      <c r="F38" s="250">
        <v>37133307</v>
      </c>
      <c r="G38" s="252">
        <f>IF(ISBLANK(F38),"-",$D$48/$F$45*F38)</f>
        <v>38096066.018408984</v>
      </c>
      <c r="I38" s="253"/>
      <c r="J38" s="230"/>
      <c r="K38" s="230"/>
      <c r="L38" s="235"/>
      <c r="M38" s="235"/>
      <c r="N38" s="236"/>
    </row>
    <row r="39" spans="1:14" s="229" customFormat="1" ht="26.25" customHeight="1" x14ac:dyDescent="0.4">
      <c r="A39" s="242" t="s">
        <v>66</v>
      </c>
      <c r="B39" s="243">
        <v>1</v>
      </c>
      <c r="C39" s="254">
        <v>2</v>
      </c>
      <c r="D39" s="255">
        <v>39191442</v>
      </c>
      <c r="E39" s="256">
        <f>IF(ISBLANK(D39),"-",$D$48/$D$45*D39)</f>
        <v>38379946.016415417</v>
      </c>
      <c r="F39" s="255">
        <v>37155501</v>
      </c>
      <c r="G39" s="257">
        <f>IF(ISBLANK(F39),"-",$D$48/$F$45*F39)</f>
        <v>38118835.444498956</v>
      </c>
      <c r="I39" s="439">
        <f>ABS((F43/D43*D42)-F42)/D42</f>
        <v>1.3521544259097712E-2</v>
      </c>
      <c r="J39" s="230"/>
      <c r="K39" s="230"/>
      <c r="L39" s="235"/>
      <c r="M39" s="235"/>
      <c r="N39" s="236"/>
    </row>
    <row r="40" spans="1:14" ht="26.25" customHeight="1" x14ac:dyDescent="0.4">
      <c r="A40" s="242" t="s">
        <v>67</v>
      </c>
      <c r="B40" s="243">
        <v>1</v>
      </c>
      <c r="C40" s="254">
        <v>3</v>
      </c>
      <c r="D40" s="255">
        <v>39961449</v>
      </c>
      <c r="E40" s="256">
        <f>IF(ISBLANK(D40),"-",$D$48/$D$45*D40)</f>
        <v>39134009.291052312</v>
      </c>
      <c r="F40" s="255">
        <v>37101074</v>
      </c>
      <c r="G40" s="257">
        <f>IF(ISBLANK(F40),"-",$D$48/$F$45*F40)</f>
        <v>38062997.31014739</v>
      </c>
      <c r="I40" s="439"/>
      <c r="L40" s="235"/>
      <c r="M40" s="235"/>
      <c r="N40" s="214"/>
    </row>
    <row r="41" spans="1:14" ht="27" customHeight="1" thickBot="1" x14ac:dyDescent="0.45">
      <c r="A41" s="242" t="s">
        <v>68</v>
      </c>
      <c r="B41" s="243">
        <v>1</v>
      </c>
      <c r="C41" s="258">
        <v>4</v>
      </c>
      <c r="D41" s="259"/>
      <c r="E41" s="260" t="str">
        <f>IF(ISBLANK(D41),"-",$D$48/$D$45*D41)</f>
        <v>-</v>
      </c>
      <c r="F41" s="259"/>
      <c r="G41" s="261" t="str">
        <f>IF(ISBLANK(F41),"-",$D$48/$F$45*F41)</f>
        <v>-</v>
      </c>
      <c r="I41" s="262"/>
      <c r="L41" s="235"/>
      <c r="M41" s="235"/>
      <c r="N41" s="214"/>
    </row>
    <row r="42" spans="1:14" ht="27" customHeight="1" thickBot="1" x14ac:dyDescent="0.45">
      <c r="A42" s="242" t="s">
        <v>69</v>
      </c>
      <c r="B42" s="243">
        <v>1</v>
      </c>
      <c r="C42" s="263" t="s">
        <v>70</v>
      </c>
      <c r="D42" s="264">
        <f>AVERAGE(D38:D41)</f>
        <v>39456979</v>
      </c>
      <c r="E42" s="265">
        <f>AVERAGE(E38:E41)</f>
        <v>38639984.820942201</v>
      </c>
      <c r="F42" s="264">
        <f>AVERAGE(F38:F41)</f>
        <v>37129960.666666664</v>
      </c>
      <c r="G42" s="266">
        <f>AVERAGE(G38:G41)</f>
        <v>38092632.924351774</v>
      </c>
      <c r="H42" s="267"/>
    </row>
    <row r="43" spans="1:14" ht="26.25" customHeight="1" x14ac:dyDescent="0.4">
      <c r="A43" s="242" t="s">
        <v>71</v>
      </c>
      <c r="B43" s="243">
        <v>1</v>
      </c>
      <c r="C43" s="268" t="s">
        <v>72</v>
      </c>
      <c r="D43" s="269">
        <v>16.5</v>
      </c>
      <c r="E43" s="214"/>
      <c r="F43" s="269">
        <v>15.75</v>
      </c>
      <c r="H43" s="267"/>
    </row>
    <row r="44" spans="1:14" ht="26.25" customHeight="1" x14ac:dyDescent="0.4">
      <c r="A44" s="242" t="s">
        <v>73</v>
      </c>
      <c r="B44" s="243">
        <v>1</v>
      </c>
      <c r="C44" s="270" t="s">
        <v>74</v>
      </c>
      <c r="D44" s="271">
        <f>D43*$B$34</f>
        <v>16.5</v>
      </c>
      <c r="E44" s="272"/>
      <c r="F44" s="271">
        <f>F43*$B$34</f>
        <v>15.75</v>
      </c>
      <c r="H44" s="267"/>
    </row>
    <row r="45" spans="1:14" ht="19.5" customHeight="1" thickBot="1" x14ac:dyDescent="0.35">
      <c r="A45" s="242" t="s">
        <v>75</v>
      </c>
      <c r="B45" s="254">
        <f>(B44/B43)*(B42/B41)*(B40/B39)*(B38/B37)*B36</f>
        <v>100</v>
      </c>
      <c r="C45" s="270" t="s">
        <v>76</v>
      </c>
      <c r="D45" s="273">
        <f>D44*$B$30/100</f>
        <v>16.3383</v>
      </c>
      <c r="E45" s="274"/>
      <c r="F45" s="273">
        <f>F44*$B$30/100</f>
        <v>15.595649999999999</v>
      </c>
      <c r="H45" s="267"/>
    </row>
    <row r="46" spans="1:14" ht="19.5" customHeight="1" thickBot="1" x14ac:dyDescent="0.35">
      <c r="A46" s="440" t="s">
        <v>77</v>
      </c>
      <c r="B46" s="441"/>
      <c r="C46" s="270" t="s">
        <v>78</v>
      </c>
      <c r="D46" s="275">
        <f>D45/$B$45</f>
        <v>0.163383</v>
      </c>
      <c r="E46" s="276"/>
      <c r="F46" s="277">
        <f>F45/$B$45</f>
        <v>0.1559565</v>
      </c>
      <c r="H46" s="267"/>
    </row>
    <row r="47" spans="1:14" ht="27" customHeight="1" thickBot="1" x14ac:dyDescent="0.45">
      <c r="A47" s="442"/>
      <c r="B47" s="443"/>
      <c r="C47" s="278" t="s">
        <v>79</v>
      </c>
      <c r="D47" s="279">
        <v>0.16</v>
      </c>
      <c r="E47" s="280"/>
      <c r="F47" s="276"/>
      <c r="H47" s="267"/>
    </row>
    <row r="48" spans="1:14" ht="18.75" x14ac:dyDescent="0.3">
      <c r="C48" s="281" t="s">
        <v>80</v>
      </c>
      <c r="D48" s="273">
        <f>D47*$B$45</f>
        <v>16</v>
      </c>
      <c r="F48" s="282"/>
      <c r="H48" s="267"/>
    </row>
    <row r="49" spans="1:12" ht="19.5" customHeight="1" thickBot="1" x14ac:dyDescent="0.35">
      <c r="C49" s="283" t="s">
        <v>81</v>
      </c>
      <c r="D49" s="284">
        <f>D48/B34</f>
        <v>16</v>
      </c>
      <c r="F49" s="282"/>
      <c r="H49" s="267"/>
    </row>
    <row r="50" spans="1:12" ht="18.75" x14ac:dyDescent="0.3">
      <c r="C50" s="240" t="s">
        <v>82</v>
      </c>
      <c r="D50" s="285">
        <f>AVERAGE(E38:E41,G38:G41)</f>
        <v>38366308.872646987</v>
      </c>
      <c r="F50" s="286"/>
      <c r="H50" s="267"/>
    </row>
    <row r="51" spans="1:12" ht="18.75" x14ac:dyDescent="0.3">
      <c r="C51" s="242" t="s">
        <v>83</v>
      </c>
      <c r="D51" s="287">
        <f>STDEV(E38:E41,G38:G41)/D50</f>
        <v>1.0538568227031883E-2</v>
      </c>
      <c r="F51" s="286"/>
      <c r="H51" s="267"/>
    </row>
    <row r="52" spans="1:12" ht="19.5" customHeight="1" thickBot="1" x14ac:dyDescent="0.35">
      <c r="C52" s="288" t="s">
        <v>20</v>
      </c>
      <c r="D52" s="289">
        <f>COUNT(E38:E41,G38:G41)</f>
        <v>6</v>
      </c>
      <c r="F52" s="286"/>
    </row>
    <row r="54" spans="1:12" ht="18.75" x14ac:dyDescent="0.3">
      <c r="A54" s="290" t="s">
        <v>1</v>
      </c>
      <c r="B54" s="291" t="s">
        <v>84</v>
      </c>
    </row>
    <row r="55" spans="1:12" ht="18.75" x14ac:dyDescent="0.3">
      <c r="A55" s="214" t="s">
        <v>85</v>
      </c>
      <c r="B55" s="292" t="str">
        <f>B21</f>
        <v>Sulphamethoxazole 800 mg, Trimethoprim 160 mg</v>
      </c>
    </row>
    <row r="56" spans="1:12" ht="26.25" customHeight="1" x14ac:dyDescent="0.4">
      <c r="A56" s="292" t="s">
        <v>86</v>
      </c>
      <c r="B56" s="293">
        <v>800</v>
      </c>
      <c r="C56" s="214" t="str">
        <f>B20</f>
        <v>Sulphamethoxazole 800 mg, Trimethoprim 160 mg</v>
      </c>
      <c r="H56" s="272"/>
    </row>
    <row r="57" spans="1:12" ht="18.75" x14ac:dyDescent="0.3">
      <c r="A57" s="292" t="s">
        <v>87</v>
      </c>
      <c r="B57" s="294">
        <f>Uniformity!C46</f>
        <v>1046.5535000000002</v>
      </c>
      <c r="H57" s="272"/>
    </row>
    <row r="58" spans="1:12" ht="19.5" customHeight="1" thickBot="1" x14ac:dyDescent="0.35">
      <c r="H58" s="272"/>
    </row>
    <row r="59" spans="1:12" s="229" customFormat="1" ht="27" customHeight="1" thickBot="1" x14ac:dyDescent="0.45">
      <c r="A59" s="240" t="s">
        <v>88</v>
      </c>
      <c r="B59" s="241">
        <v>100</v>
      </c>
      <c r="C59" s="214"/>
      <c r="D59" s="295" t="s">
        <v>89</v>
      </c>
      <c r="E59" s="296" t="s">
        <v>61</v>
      </c>
      <c r="F59" s="296" t="s">
        <v>62</v>
      </c>
      <c r="G59" s="296" t="s">
        <v>90</v>
      </c>
      <c r="H59" s="244" t="s">
        <v>91</v>
      </c>
      <c r="L59" s="230"/>
    </row>
    <row r="60" spans="1:12" s="229" customFormat="1" ht="26.25" customHeight="1" x14ac:dyDescent="0.4">
      <c r="A60" s="242" t="s">
        <v>92</v>
      </c>
      <c r="B60" s="243">
        <v>2</v>
      </c>
      <c r="C60" s="444" t="s">
        <v>93</v>
      </c>
      <c r="D60" s="447">
        <v>1039.9100000000001</v>
      </c>
      <c r="E60" s="297">
        <v>1</v>
      </c>
      <c r="F60" s="298">
        <v>37473842</v>
      </c>
      <c r="G60" s="299">
        <f>IF(ISBLANK(F60),"-",(F60/$D$50*$D$47*$B$68)*($B$57/$D$60))</f>
        <v>786.38255297978344</v>
      </c>
      <c r="H60" s="300">
        <f t="shared" ref="H60:H71" si="0">IF(ISBLANK(F60),"-",(G60/$B$56)*100)</f>
        <v>98.29781912247293</v>
      </c>
      <c r="L60" s="230"/>
    </row>
    <row r="61" spans="1:12" s="229" customFormat="1" ht="26.25" customHeight="1" x14ac:dyDescent="0.4">
      <c r="A61" s="242" t="s">
        <v>94</v>
      </c>
      <c r="B61" s="243">
        <v>100</v>
      </c>
      <c r="C61" s="445"/>
      <c r="D61" s="448"/>
      <c r="E61" s="301">
        <v>2</v>
      </c>
      <c r="F61" s="255">
        <v>37232918</v>
      </c>
      <c r="G61" s="302">
        <f>IF(ISBLANK(F61),"-",(F61/$D$50*$D$47*$B$68)*($B$57/$D$60))</f>
        <v>781.32680155205151</v>
      </c>
      <c r="H61" s="303">
        <f t="shared" si="0"/>
        <v>97.665850194006438</v>
      </c>
      <c r="L61" s="230"/>
    </row>
    <row r="62" spans="1:12" s="229" customFormat="1" ht="26.25" customHeight="1" x14ac:dyDescent="0.4">
      <c r="A62" s="242" t="s">
        <v>95</v>
      </c>
      <c r="B62" s="243">
        <v>1</v>
      </c>
      <c r="C62" s="445"/>
      <c r="D62" s="448"/>
      <c r="E62" s="301">
        <v>3</v>
      </c>
      <c r="F62" s="304">
        <v>37831160</v>
      </c>
      <c r="G62" s="302">
        <f>IF(ISBLANK(F62),"-",(F62/$D$50*$D$47*$B$68)*($B$57/$D$60))</f>
        <v>793.88081379503774</v>
      </c>
      <c r="H62" s="303">
        <f t="shared" si="0"/>
        <v>99.235101724379717</v>
      </c>
      <c r="L62" s="230"/>
    </row>
    <row r="63" spans="1:12" ht="27" customHeight="1" thickBot="1" x14ac:dyDescent="0.45">
      <c r="A63" s="242" t="s">
        <v>96</v>
      </c>
      <c r="B63" s="243">
        <v>1</v>
      </c>
      <c r="C63" s="446"/>
      <c r="D63" s="449"/>
      <c r="E63" s="305">
        <v>4</v>
      </c>
      <c r="F63" s="306"/>
      <c r="G63" s="302" t="str">
        <f>IF(ISBLANK(F63),"-",(F63/$D$50*$D$47*$B$68)*($B$57/$D$60))</f>
        <v>-</v>
      </c>
      <c r="H63" s="303" t="str">
        <f t="shared" si="0"/>
        <v>-</v>
      </c>
    </row>
    <row r="64" spans="1:12" ht="26.25" customHeight="1" x14ac:dyDescent="0.4">
      <c r="A64" s="242" t="s">
        <v>97</v>
      </c>
      <c r="B64" s="243">
        <v>1</v>
      </c>
      <c r="C64" s="444" t="s">
        <v>98</v>
      </c>
      <c r="D64" s="447">
        <v>1045.42</v>
      </c>
      <c r="E64" s="297">
        <v>1</v>
      </c>
      <c r="F64" s="298"/>
      <c r="G64" s="299" t="str">
        <f>IF(ISBLANK(F64),"-",(F64/$D$50*$D$47*$B$68)*($B$57/$D$64))</f>
        <v>-</v>
      </c>
      <c r="H64" s="300" t="str">
        <f t="shared" si="0"/>
        <v>-</v>
      </c>
    </row>
    <row r="65" spans="1:8" ht="26.25" customHeight="1" x14ac:dyDescent="0.4">
      <c r="A65" s="242" t="s">
        <v>99</v>
      </c>
      <c r="B65" s="243">
        <v>1</v>
      </c>
      <c r="C65" s="445"/>
      <c r="D65" s="448"/>
      <c r="E65" s="301">
        <v>2</v>
      </c>
      <c r="F65" s="255"/>
      <c r="G65" s="302" t="str">
        <f>IF(ISBLANK(F65),"-",(F65/$D$50*$D$47*$B$68)*($B$57/$D$64))</f>
        <v>-</v>
      </c>
      <c r="H65" s="303" t="str">
        <f t="shared" si="0"/>
        <v>-</v>
      </c>
    </row>
    <row r="66" spans="1:8" ht="26.25" customHeight="1" x14ac:dyDescent="0.4">
      <c r="A66" s="242" t="s">
        <v>100</v>
      </c>
      <c r="B66" s="243">
        <v>1</v>
      </c>
      <c r="C66" s="445"/>
      <c r="D66" s="448"/>
      <c r="E66" s="301">
        <v>3</v>
      </c>
      <c r="F66" s="255"/>
      <c r="G66" s="302" t="str">
        <f>IF(ISBLANK(F66),"-",(F66/$D$50*$D$47*$B$68)*($B$57/$D$64))</f>
        <v>-</v>
      </c>
      <c r="H66" s="303" t="str">
        <f t="shared" si="0"/>
        <v>-</v>
      </c>
    </row>
    <row r="67" spans="1:8" ht="27" customHeight="1" thickBot="1" x14ac:dyDescent="0.45">
      <c r="A67" s="242" t="s">
        <v>101</v>
      </c>
      <c r="B67" s="243">
        <v>1</v>
      </c>
      <c r="C67" s="446"/>
      <c r="D67" s="449"/>
      <c r="E67" s="305">
        <v>4</v>
      </c>
      <c r="F67" s="306"/>
      <c r="G67" s="307" t="str">
        <f>IF(ISBLANK(F67),"-",(F67/$D$50*$D$47*$B$68)*($B$57/$D$64))</f>
        <v>-</v>
      </c>
      <c r="H67" s="308" t="str">
        <f t="shared" si="0"/>
        <v>-</v>
      </c>
    </row>
    <row r="68" spans="1:8" ht="26.25" customHeight="1" x14ac:dyDescent="0.4">
      <c r="A68" s="242" t="s">
        <v>102</v>
      </c>
      <c r="B68" s="309">
        <f>(B67/B66)*(B65/B64)*(B63/B62)*(B61/B60)*B59</f>
        <v>5000</v>
      </c>
      <c r="C68" s="444" t="s">
        <v>103</v>
      </c>
      <c r="D68" s="447">
        <v>1040.42</v>
      </c>
      <c r="E68" s="297">
        <v>1</v>
      </c>
      <c r="F68" s="298">
        <v>36511891</v>
      </c>
      <c r="G68" s="299">
        <f>IF(ISBLANK(F68),"-",(F68/$D$50*$D$47*$B$68)*($B$57/$D$68))</f>
        <v>765.82058667757269</v>
      </c>
      <c r="H68" s="303">
        <f t="shared" si="0"/>
        <v>95.727573334696586</v>
      </c>
    </row>
    <row r="69" spans="1:8" ht="27" customHeight="1" thickBot="1" x14ac:dyDescent="0.45">
      <c r="A69" s="288" t="s">
        <v>104</v>
      </c>
      <c r="B69" s="310">
        <f>(D47*B68)/B56*B57</f>
        <v>1046.5535000000002</v>
      </c>
      <c r="C69" s="445"/>
      <c r="D69" s="448"/>
      <c r="E69" s="301">
        <v>2</v>
      </c>
      <c r="F69" s="255">
        <v>37351694</v>
      </c>
      <c r="G69" s="302">
        <f>IF(ISBLANK(F69),"-",(F69/$D$50*$D$47*$B$68)*($B$57/$D$68))</f>
        <v>783.43507906728712</v>
      </c>
      <c r="H69" s="303">
        <f t="shared" si="0"/>
        <v>97.92938488341089</v>
      </c>
    </row>
    <row r="70" spans="1:8" ht="26.25" customHeight="1" x14ac:dyDescent="0.4">
      <c r="A70" s="451" t="s">
        <v>77</v>
      </c>
      <c r="B70" s="452"/>
      <c r="C70" s="445"/>
      <c r="D70" s="448"/>
      <c r="E70" s="301">
        <v>3</v>
      </c>
      <c r="F70" s="255">
        <v>37255965</v>
      </c>
      <c r="G70" s="302">
        <f>IF(ISBLANK(F70),"-",(F70/$D$50*$D$47*$B$68)*($B$57/$D$68))</f>
        <v>781.42720609948992</v>
      </c>
      <c r="H70" s="303">
        <f t="shared" si="0"/>
        <v>97.67840076243624</v>
      </c>
    </row>
    <row r="71" spans="1:8" ht="27" customHeight="1" thickBot="1" x14ac:dyDescent="0.45">
      <c r="A71" s="453"/>
      <c r="B71" s="454"/>
      <c r="C71" s="450"/>
      <c r="D71" s="449"/>
      <c r="E71" s="305">
        <v>4</v>
      </c>
      <c r="F71" s="306"/>
      <c r="G71" s="307" t="str">
        <f>IF(ISBLANK(F71),"-",(F71/$D$50*$D$47*$B$68)*($B$57/$D$68))</f>
        <v>-</v>
      </c>
      <c r="H71" s="308" t="str">
        <f t="shared" si="0"/>
        <v>-</v>
      </c>
    </row>
    <row r="72" spans="1:8" ht="26.25" customHeight="1" x14ac:dyDescent="0.4">
      <c r="A72" s="272"/>
      <c r="B72" s="272"/>
      <c r="C72" s="272"/>
      <c r="D72" s="272"/>
      <c r="E72" s="272"/>
      <c r="F72" s="311" t="s">
        <v>70</v>
      </c>
      <c r="G72" s="312">
        <f>AVERAGE(G60:G71)</f>
        <v>782.0455066952037</v>
      </c>
      <c r="H72" s="313">
        <f>AVERAGE(H60:H71)</f>
        <v>97.755688336900462</v>
      </c>
    </row>
    <row r="73" spans="1:8" ht="26.25" customHeight="1" x14ac:dyDescent="0.4">
      <c r="C73" s="272"/>
      <c r="D73" s="272"/>
      <c r="E73" s="272"/>
      <c r="F73" s="314" t="s">
        <v>83</v>
      </c>
      <c r="G73" s="315">
        <f>STDEV(G60:G71)/G72</f>
        <v>1.1788489015007333E-2</v>
      </c>
      <c r="H73" s="315">
        <f>STDEV(H60:H71)/H72</f>
        <v>1.1788489015007333E-2</v>
      </c>
    </row>
    <row r="74" spans="1:8" ht="27" customHeight="1" thickBot="1" x14ac:dyDescent="0.45">
      <c r="A74" s="272"/>
      <c r="B74" s="272"/>
      <c r="C74" s="272"/>
      <c r="D74" s="272"/>
      <c r="E74" s="274"/>
      <c r="F74" s="316" t="s">
        <v>20</v>
      </c>
      <c r="G74" s="317">
        <f>COUNT(G60:G71)</f>
        <v>6</v>
      </c>
      <c r="H74" s="317">
        <f>COUNT(H60:H71)</f>
        <v>6</v>
      </c>
    </row>
    <row r="76" spans="1:8" ht="26.25" customHeight="1" x14ac:dyDescent="0.4">
      <c r="A76" s="225" t="s">
        <v>105</v>
      </c>
      <c r="B76" s="226" t="s">
        <v>106</v>
      </c>
      <c r="C76" s="435" t="str">
        <f>B26</f>
        <v>sulfamethoxazole</v>
      </c>
      <c r="D76" s="435"/>
      <c r="E76" s="214" t="s">
        <v>107</v>
      </c>
      <c r="F76" s="214"/>
      <c r="G76" s="318">
        <f>H72</f>
        <v>97.755688336900462</v>
      </c>
      <c r="H76" s="231"/>
    </row>
    <row r="77" spans="1:8" ht="18.75" x14ac:dyDescent="0.3">
      <c r="A77" s="224" t="s">
        <v>108</v>
      </c>
      <c r="B77" s="224" t="s">
        <v>109</v>
      </c>
    </row>
    <row r="78" spans="1:8" ht="18.75" x14ac:dyDescent="0.3">
      <c r="A78" s="224"/>
      <c r="B78" s="224"/>
    </row>
    <row r="79" spans="1:8" ht="26.25" customHeight="1" x14ac:dyDescent="0.4">
      <c r="A79" s="225" t="s">
        <v>4</v>
      </c>
      <c r="B79" s="456" t="str">
        <f>B26</f>
        <v>sulfamethoxazole</v>
      </c>
      <c r="C79" s="456"/>
    </row>
    <row r="80" spans="1:8" ht="26.25" customHeight="1" x14ac:dyDescent="0.4">
      <c r="A80" s="226" t="s">
        <v>47</v>
      </c>
      <c r="B80" s="456" t="s">
        <v>135</v>
      </c>
      <c r="C80" s="456"/>
    </row>
    <row r="81" spans="1:12" ht="27" customHeight="1" thickBot="1" x14ac:dyDescent="0.45">
      <c r="A81" s="226" t="s">
        <v>6</v>
      </c>
      <c r="B81" s="227">
        <f>B28</f>
        <v>99.02</v>
      </c>
    </row>
    <row r="82" spans="1:12" s="229" customFormat="1" ht="27" customHeight="1" thickBot="1" x14ac:dyDescent="0.45">
      <c r="A82" s="226" t="s">
        <v>48</v>
      </c>
      <c r="B82" s="228">
        <v>0</v>
      </c>
      <c r="C82" s="432" t="s">
        <v>49</v>
      </c>
      <c r="D82" s="433"/>
      <c r="E82" s="433"/>
      <c r="F82" s="433"/>
      <c r="G82" s="434"/>
      <c r="I82" s="230"/>
      <c r="J82" s="230"/>
      <c r="K82" s="230"/>
      <c r="L82" s="230"/>
    </row>
    <row r="83" spans="1:12" s="229" customFormat="1" ht="19.5" customHeight="1" thickBot="1" x14ac:dyDescent="0.35">
      <c r="A83" s="226" t="s">
        <v>50</v>
      </c>
      <c r="B83" s="231">
        <f>B81-B82</f>
        <v>99.02</v>
      </c>
      <c r="C83" s="232"/>
      <c r="D83" s="232"/>
      <c r="E83" s="232"/>
      <c r="F83" s="232"/>
      <c r="G83" s="233"/>
      <c r="I83" s="230"/>
      <c r="J83" s="230"/>
      <c r="K83" s="230"/>
      <c r="L83" s="230"/>
    </row>
    <row r="84" spans="1:12" s="229" customFormat="1" ht="27" customHeight="1" thickBot="1" x14ac:dyDescent="0.45">
      <c r="A84" s="226" t="s">
        <v>51</v>
      </c>
      <c r="B84" s="234">
        <v>1</v>
      </c>
      <c r="C84" s="420" t="s">
        <v>110</v>
      </c>
      <c r="D84" s="421"/>
      <c r="E84" s="421"/>
      <c r="F84" s="421"/>
      <c r="G84" s="421"/>
      <c r="H84" s="422"/>
      <c r="I84" s="230"/>
      <c r="J84" s="230"/>
      <c r="K84" s="230"/>
      <c r="L84" s="230"/>
    </row>
    <row r="85" spans="1:12" s="229" customFormat="1" ht="27" customHeight="1" thickBot="1" x14ac:dyDescent="0.45">
      <c r="A85" s="226" t="s">
        <v>53</v>
      </c>
      <c r="B85" s="234">
        <v>1</v>
      </c>
      <c r="C85" s="420" t="s">
        <v>111</v>
      </c>
      <c r="D85" s="421"/>
      <c r="E85" s="421"/>
      <c r="F85" s="421"/>
      <c r="G85" s="421"/>
      <c r="H85" s="422"/>
      <c r="I85" s="230"/>
      <c r="J85" s="230"/>
      <c r="K85" s="230"/>
      <c r="L85" s="230"/>
    </row>
    <row r="86" spans="1:12" s="229" customFormat="1" ht="18.75" x14ac:dyDescent="0.3">
      <c r="A86" s="226"/>
      <c r="B86" s="237"/>
      <c r="C86" s="238"/>
      <c r="D86" s="238"/>
      <c r="E86" s="238"/>
      <c r="F86" s="238"/>
      <c r="G86" s="238"/>
      <c r="H86" s="238"/>
      <c r="I86" s="230"/>
      <c r="J86" s="230"/>
      <c r="K86" s="230"/>
      <c r="L86" s="230"/>
    </row>
    <row r="87" spans="1:12" s="229" customFormat="1" ht="18.75" x14ac:dyDescent="0.3">
      <c r="A87" s="226" t="s">
        <v>55</v>
      </c>
      <c r="B87" s="239">
        <f>B84/B85</f>
        <v>1</v>
      </c>
      <c r="C87" s="214" t="s">
        <v>56</v>
      </c>
      <c r="D87" s="214"/>
      <c r="E87" s="214"/>
      <c r="F87" s="214"/>
      <c r="G87" s="214"/>
      <c r="I87" s="230"/>
      <c r="J87" s="230"/>
      <c r="K87" s="230"/>
      <c r="L87" s="230"/>
    </row>
    <row r="88" spans="1:12" ht="19.5" customHeight="1" thickBot="1" x14ac:dyDescent="0.35">
      <c r="A88" s="224"/>
      <c r="B88" s="224"/>
    </row>
    <row r="89" spans="1:12" ht="27" customHeight="1" thickBot="1" x14ac:dyDescent="0.45">
      <c r="A89" s="240" t="s">
        <v>57</v>
      </c>
      <c r="B89" s="241">
        <v>100</v>
      </c>
      <c r="D89" s="319" t="s">
        <v>58</v>
      </c>
      <c r="E89" s="320"/>
      <c r="F89" s="436" t="s">
        <v>59</v>
      </c>
      <c r="G89" s="438"/>
    </row>
    <row r="90" spans="1:12" ht="27" customHeight="1" thickBot="1" x14ac:dyDescent="0.45">
      <c r="A90" s="242" t="s">
        <v>60</v>
      </c>
      <c r="B90" s="243">
        <v>1</v>
      </c>
      <c r="C90" s="321" t="s">
        <v>61</v>
      </c>
      <c r="D90" s="245" t="s">
        <v>62</v>
      </c>
      <c r="E90" s="246" t="s">
        <v>63</v>
      </c>
      <c r="F90" s="245" t="s">
        <v>62</v>
      </c>
      <c r="G90" s="322" t="s">
        <v>63</v>
      </c>
      <c r="I90" s="248" t="s">
        <v>64</v>
      </c>
    </row>
    <row r="91" spans="1:12" ht="26.25" customHeight="1" x14ac:dyDescent="0.4">
      <c r="A91" s="242" t="s">
        <v>65</v>
      </c>
      <c r="B91" s="243">
        <v>1</v>
      </c>
      <c r="C91" s="323">
        <v>1</v>
      </c>
      <c r="D91" s="250">
        <v>39218046</v>
      </c>
      <c r="E91" s="251">
        <f>IF(ISBLANK(D91),"-",$D$101/$D$98*D91)</f>
        <v>42673332.394843206</v>
      </c>
      <c r="F91" s="250">
        <v>37133307</v>
      </c>
      <c r="G91" s="252">
        <f>IF(ISBLANK(F91),"-",$D$101/$F$98*F91)</f>
        <v>42328962.242676653</v>
      </c>
      <c r="I91" s="253"/>
    </row>
    <row r="92" spans="1:12" ht="26.25" customHeight="1" x14ac:dyDescent="0.4">
      <c r="A92" s="242" t="s">
        <v>66</v>
      </c>
      <c r="B92" s="243">
        <v>1</v>
      </c>
      <c r="C92" s="272">
        <v>2</v>
      </c>
      <c r="D92" s="255">
        <v>39191442</v>
      </c>
      <c r="E92" s="256">
        <f>IF(ISBLANK(D92),"-",$D$101/$D$98*D92)</f>
        <v>42644384.462683797</v>
      </c>
      <c r="F92" s="255">
        <v>37155501</v>
      </c>
      <c r="G92" s="257">
        <f>IF(ISBLANK(F92),"-",$D$101/$F$98*F92)</f>
        <v>42354261.604998834</v>
      </c>
      <c r="I92" s="439">
        <f>ABS((F96/D96*D95)-F95)/D95</f>
        <v>1.3521544259097712E-2</v>
      </c>
    </row>
    <row r="93" spans="1:12" ht="26.25" customHeight="1" x14ac:dyDescent="0.4">
      <c r="A93" s="242" t="s">
        <v>67</v>
      </c>
      <c r="B93" s="243">
        <v>1</v>
      </c>
      <c r="C93" s="272">
        <v>3</v>
      </c>
      <c r="D93" s="255">
        <v>39961449</v>
      </c>
      <c r="E93" s="256">
        <f>IF(ISBLANK(D93),"-",$D$101/$D$98*D93)</f>
        <v>43482232.545613684</v>
      </c>
      <c r="F93" s="255">
        <v>37101074</v>
      </c>
      <c r="G93" s="257">
        <f>IF(ISBLANK(F93),"-",$D$101/$F$98*F93)</f>
        <v>42292219.233497098</v>
      </c>
      <c r="I93" s="439"/>
    </row>
    <row r="94" spans="1:12" ht="27" customHeight="1" thickBot="1" x14ac:dyDescent="0.45">
      <c r="A94" s="242" t="s">
        <v>68</v>
      </c>
      <c r="B94" s="243">
        <v>1</v>
      </c>
      <c r="C94" s="324">
        <v>4</v>
      </c>
      <c r="D94" s="259"/>
      <c r="E94" s="260" t="str">
        <f>IF(ISBLANK(D94),"-",$D$101/$D$98*D94)</f>
        <v>-</v>
      </c>
      <c r="F94" s="325"/>
      <c r="G94" s="261" t="str">
        <f>IF(ISBLANK(F94),"-",$D$101/$F$98*F94)</f>
        <v>-</v>
      </c>
      <c r="I94" s="262"/>
    </row>
    <row r="95" spans="1:12" ht="27" customHeight="1" thickBot="1" x14ac:dyDescent="0.45">
      <c r="A95" s="242" t="s">
        <v>69</v>
      </c>
      <c r="B95" s="243">
        <v>1</v>
      </c>
      <c r="C95" s="226" t="s">
        <v>70</v>
      </c>
      <c r="D95" s="326">
        <f>AVERAGE(D91:D94)</f>
        <v>39456979</v>
      </c>
      <c r="E95" s="265">
        <f>AVERAGE(E91:E94)</f>
        <v>42933316.467713565</v>
      </c>
      <c r="F95" s="327">
        <f>AVERAGE(F91:F94)</f>
        <v>37129960.666666664</v>
      </c>
      <c r="G95" s="328">
        <f>AVERAGE(G91:G94)</f>
        <v>42325147.693724193</v>
      </c>
    </row>
    <row r="96" spans="1:12" ht="26.25" customHeight="1" x14ac:dyDescent="0.4">
      <c r="A96" s="242" t="s">
        <v>71</v>
      </c>
      <c r="B96" s="227">
        <v>1</v>
      </c>
      <c r="C96" s="329" t="s">
        <v>112</v>
      </c>
      <c r="D96" s="330">
        <v>16.5</v>
      </c>
      <c r="E96" s="214"/>
      <c r="F96" s="269">
        <v>15.75</v>
      </c>
    </row>
    <row r="97" spans="1:10" ht="26.25" customHeight="1" x14ac:dyDescent="0.4">
      <c r="A97" s="242" t="s">
        <v>73</v>
      </c>
      <c r="B97" s="227">
        <v>1</v>
      </c>
      <c r="C97" s="331" t="s">
        <v>113</v>
      </c>
      <c r="D97" s="332">
        <f>D96*$B$87</f>
        <v>16.5</v>
      </c>
      <c r="E97" s="272"/>
      <c r="F97" s="271">
        <f>F96*$B$87</f>
        <v>15.75</v>
      </c>
    </row>
    <row r="98" spans="1:10" ht="19.5" customHeight="1" thickBot="1" x14ac:dyDescent="0.35">
      <c r="A98" s="242" t="s">
        <v>75</v>
      </c>
      <c r="B98" s="272">
        <f>(B97/B96)*(B95/B94)*(B93/B92)*(B91/B90)*B89</f>
        <v>100</v>
      </c>
      <c r="C98" s="331" t="s">
        <v>114</v>
      </c>
      <c r="D98" s="333">
        <f>D97*$B$83/100</f>
        <v>16.3383</v>
      </c>
      <c r="E98" s="274"/>
      <c r="F98" s="273">
        <f>F97*$B$83/100</f>
        <v>15.595649999999999</v>
      </c>
    </row>
    <row r="99" spans="1:10" ht="19.5" customHeight="1" thickBot="1" x14ac:dyDescent="0.35">
      <c r="A99" s="440" t="s">
        <v>77</v>
      </c>
      <c r="B99" s="457"/>
      <c r="C99" s="331" t="s">
        <v>115</v>
      </c>
      <c r="D99" s="334">
        <f>D98/$B$98</f>
        <v>0.163383</v>
      </c>
      <c r="E99" s="274"/>
      <c r="F99" s="277">
        <f>F98/$B$98</f>
        <v>0.1559565</v>
      </c>
      <c r="H99" s="267"/>
    </row>
    <row r="100" spans="1:10" ht="19.5" customHeight="1" thickBot="1" x14ac:dyDescent="0.35">
      <c r="A100" s="442"/>
      <c r="B100" s="458"/>
      <c r="C100" s="331" t="s">
        <v>79</v>
      </c>
      <c r="D100" s="335">
        <f>$B$56/$B$116</f>
        <v>0.17777777777777778</v>
      </c>
      <c r="F100" s="282"/>
      <c r="G100" s="336"/>
      <c r="H100" s="267"/>
    </row>
    <row r="101" spans="1:10" ht="18.75" x14ac:dyDescent="0.3">
      <c r="C101" s="331" t="s">
        <v>80</v>
      </c>
      <c r="D101" s="332">
        <f>D100*$B$98</f>
        <v>17.777777777777779</v>
      </c>
      <c r="F101" s="282"/>
      <c r="H101" s="267"/>
    </row>
    <row r="102" spans="1:10" ht="19.5" customHeight="1" thickBot="1" x14ac:dyDescent="0.35">
      <c r="C102" s="337" t="s">
        <v>81</v>
      </c>
      <c r="D102" s="338">
        <f>D101/B34</f>
        <v>17.777777777777779</v>
      </c>
      <c r="F102" s="286"/>
      <c r="H102" s="267"/>
      <c r="J102" s="339"/>
    </row>
    <row r="103" spans="1:10" ht="18.75" x14ac:dyDescent="0.3">
      <c r="C103" s="340" t="s">
        <v>116</v>
      </c>
      <c r="D103" s="341">
        <f>AVERAGE(E91:E94,G91:G94)</f>
        <v>42629232.080718875</v>
      </c>
      <c r="F103" s="286"/>
      <c r="G103" s="336"/>
      <c r="H103" s="267"/>
      <c r="J103" s="342"/>
    </row>
    <row r="104" spans="1:10" ht="18.75" x14ac:dyDescent="0.3">
      <c r="C104" s="314" t="s">
        <v>83</v>
      </c>
      <c r="D104" s="343">
        <f>STDEV(E91:E94,G91:G94)/D103</f>
        <v>1.0538568227031931E-2</v>
      </c>
      <c r="F104" s="286"/>
      <c r="H104" s="267"/>
      <c r="J104" s="342"/>
    </row>
    <row r="105" spans="1:10" ht="19.5" customHeight="1" thickBot="1" x14ac:dyDescent="0.35">
      <c r="C105" s="316" t="s">
        <v>20</v>
      </c>
      <c r="D105" s="344">
        <f>COUNT(E91:E94,G91:G94)</f>
        <v>6</v>
      </c>
      <c r="F105" s="286"/>
      <c r="H105" s="267"/>
      <c r="J105" s="342"/>
    </row>
    <row r="106" spans="1:10" ht="19.5" customHeight="1" thickBot="1" x14ac:dyDescent="0.35">
      <c r="A106" s="290"/>
      <c r="B106" s="290"/>
      <c r="C106" s="290"/>
      <c r="D106" s="290"/>
      <c r="E106" s="290"/>
    </row>
    <row r="107" spans="1:10" ht="27" customHeight="1" thickBot="1" x14ac:dyDescent="0.45">
      <c r="A107" s="240" t="s">
        <v>117</v>
      </c>
      <c r="B107" s="241">
        <v>900</v>
      </c>
      <c r="C107" s="296" t="s">
        <v>118</v>
      </c>
      <c r="D107" s="296" t="s">
        <v>62</v>
      </c>
      <c r="E107" s="296" t="s">
        <v>119</v>
      </c>
      <c r="F107" s="345" t="s">
        <v>120</v>
      </c>
    </row>
    <row r="108" spans="1:10" ht="26.25" customHeight="1" x14ac:dyDescent="0.4">
      <c r="A108" s="242" t="s">
        <v>121</v>
      </c>
      <c r="B108" s="243">
        <v>10</v>
      </c>
      <c r="C108" s="297">
        <v>1</v>
      </c>
      <c r="D108" s="346">
        <v>38121675</v>
      </c>
      <c r="E108" s="347">
        <f t="shared" ref="E108:E113" si="1">IF(ISBLANK(D108),"-",D108/$D$103*$D$100*$B$116)</f>
        <v>715.40908694421205</v>
      </c>
      <c r="F108" s="348">
        <f t="shared" ref="F108:F113" si="2">IF(ISBLANK(D108), "-", (E108/$B$56)*100)</f>
        <v>89.426135868026506</v>
      </c>
    </row>
    <row r="109" spans="1:10" ht="26.25" customHeight="1" x14ac:dyDescent="0.4">
      <c r="A109" s="242" t="s">
        <v>94</v>
      </c>
      <c r="B109" s="243">
        <v>50</v>
      </c>
      <c r="C109" s="301">
        <v>2</v>
      </c>
      <c r="D109" s="349">
        <v>37885955</v>
      </c>
      <c r="E109" s="350">
        <f t="shared" si="1"/>
        <v>710.98545576917866</v>
      </c>
      <c r="F109" s="351">
        <f t="shared" si="2"/>
        <v>88.873181971147332</v>
      </c>
    </row>
    <row r="110" spans="1:10" ht="26.25" customHeight="1" x14ac:dyDescent="0.4">
      <c r="A110" s="242" t="s">
        <v>95</v>
      </c>
      <c r="B110" s="243">
        <v>1</v>
      </c>
      <c r="C110" s="301">
        <v>3</v>
      </c>
      <c r="D110" s="349">
        <v>37887144</v>
      </c>
      <c r="E110" s="350">
        <f t="shared" si="1"/>
        <v>711.00776909629178</v>
      </c>
      <c r="F110" s="351">
        <f t="shared" si="2"/>
        <v>88.875971137036473</v>
      </c>
    </row>
    <row r="111" spans="1:10" ht="26.25" customHeight="1" x14ac:dyDescent="0.4">
      <c r="A111" s="242" t="s">
        <v>96</v>
      </c>
      <c r="B111" s="243">
        <v>1</v>
      </c>
      <c r="C111" s="301">
        <v>4</v>
      </c>
      <c r="D111" s="349">
        <v>38135804</v>
      </c>
      <c r="E111" s="350">
        <f t="shared" si="1"/>
        <v>715.67423833090822</v>
      </c>
      <c r="F111" s="351">
        <f t="shared" si="2"/>
        <v>89.459279791363528</v>
      </c>
    </row>
    <row r="112" spans="1:10" ht="26.25" customHeight="1" x14ac:dyDescent="0.4">
      <c r="A112" s="242" t="s">
        <v>97</v>
      </c>
      <c r="B112" s="243">
        <v>1</v>
      </c>
      <c r="C112" s="301">
        <v>5</v>
      </c>
      <c r="D112" s="349">
        <v>38044465</v>
      </c>
      <c r="E112" s="350">
        <f t="shared" si="1"/>
        <v>713.9601281667459</v>
      </c>
      <c r="F112" s="351">
        <f t="shared" si="2"/>
        <v>89.245016020843238</v>
      </c>
    </row>
    <row r="113" spans="1:10" ht="27" customHeight="1" thickBot="1" x14ac:dyDescent="0.45">
      <c r="A113" s="242" t="s">
        <v>99</v>
      </c>
      <c r="B113" s="243">
        <v>1</v>
      </c>
      <c r="C113" s="305">
        <v>6</v>
      </c>
      <c r="D113" s="352">
        <v>37928084</v>
      </c>
      <c r="E113" s="353">
        <f t="shared" si="1"/>
        <v>711.77606818124787</v>
      </c>
      <c r="F113" s="354">
        <f t="shared" si="2"/>
        <v>88.972008522655983</v>
      </c>
    </row>
    <row r="114" spans="1:10" ht="27" customHeight="1" thickBot="1" x14ac:dyDescent="0.45">
      <c r="A114" s="242" t="s">
        <v>100</v>
      </c>
      <c r="B114" s="243">
        <v>1</v>
      </c>
      <c r="C114" s="355"/>
      <c r="D114" s="272"/>
      <c r="E114" s="214"/>
      <c r="F114" s="351"/>
    </row>
    <row r="115" spans="1:10" ht="26.25" customHeight="1" x14ac:dyDescent="0.4">
      <c r="A115" s="242" t="s">
        <v>101</v>
      </c>
      <c r="B115" s="243">
        <v>1</v>
      </c>
      <c r="C115" s="355"/>
      <c r="D115" s="356" t="s">
        <v>70</v>
      </c>
      <c r="E115" s="357">
        <f>AVERAGE(E108:E113)</f>
        <v>713.13545774809745</v>
      </c>
      <c r="F115" s="358">
        <f>AVERAGE(F108:F113)</f>
        <v>89.141932218512181</v>
      </c>
    </row>
    <row r="116" spans="1:10" ht="27" customHeight="1" thickBot="1" x14ac:dyDescent="0.45">
      <c r="A116" s="242" t="s">
        <v>102</v>
      </c>
      <c r="B116" s="254">
        <f>(B115/B114)*(B113/B112)*(B111/B110)*(B109/B108)*B107</f>
        <v>4500</v>
      </c>
      <c r="C116" s="359"/>
      <c r="D116" s="360" t="s">
        <v>83</v>
      </c>
      <c r="E116" s="315">
        <f>STDEV(E108:E113)/E115</f>
        <v>3.0265646187627436E-3</v>
      </c>
      <c r="F116" s="361">
        <f>STDEV(F108:F113)/F115</f>
        <v>3.0265646187627436E-3</v>
      </c>
      <c r="I116" s="214"/>
    </row>
    <row r="117" spans="1:10" ht="27" customHeight="1" thickBot="1" x14ac:dyDescent="0.45">
      <c r="A117" s="440" t="s">
        <v>77</v>
      </c>
      <c r="B117" s="441"/>
      <c r="C117" s="362"/>
      <c r="D117" s="316" t="s">
        <v>20</v>
      </c>
      <c r="E117" s="363">
        <f>COUNT(E108:E113)</f>
        <v>6</v>
      </c>
      <c r="F117" s="364">
        <f>COUNT(F108:F113)</f>
        <v>6</v>
      </c>
      <c r="I117" s="214"/>
      <c r="J117" s="342"/>
    </row>
    <row r="118" spans="1:10" ht="26.25" customHeight="1" thickBot="1" x14ac:dyDescent="0.35">
      <c r="A118" s="442"/>
      <c r="B118" s="443"/>
      <c r="C118" s="214"/>
      <c r="D118" s="365"/>
      <c r="E118" s="459" t="s">
        <v>122</v>
      </c>
      <c r="F118" s="460"/>
      <c r="G118" s="214"/>
      <c r="H118" s="214"/>
      <c r="I118" s="214"/>
    </row>
    <row r="119" spans="1:10" ht="25.5" customHeight="1" x14ac:dyDescent="0.4">
      <c r="A119" s="366"/>
      <c r="B119" s="238"/>
      <c r="C119" s="214"/>
      <c r="D119" s="360" t="s">
        <v>123</v>
      </c>
      <c r="E119" s="367">
        <f>MIN(E108:E113)</f>
        <v>710.98545576917866</v>
      </c>
      <c r="F119" s="368">
        <f>MIN(F108:F113)</f>
        <v>88.873181971147332</v>
      </c>
      <c r="G119" s="214"/>
      <c r="H119" s="214"/>
      <c r="I119" s="214"/>
    </row>
    <row r="120" spans="1:10" ht="24" customHeight="1" thickBot="1" x14ac:dyDescent="0.45">
      <c r="A120" s="366"/>
      <c r="B120" s="238"/>
      <c r="C120" s="214"/>
      <c r="D120" s="283" t="s">
        <v>124</v>
      </c>
      <c r="E120" s="369">
        <f>MAX(E108:E113)</f>
        <v>715.67423833090822</v>
      </c>
      <c r="F120" s="370">
        <f>MAX(F108:F113)</f>
        <v>89.459279791363528</v>
      </c>
      <c r="G120" s="214"/>
      <c r="H120" s="214"/>
      <c r="I120" s="214"/>
    </row>
    <row r="121" spans="1:10" ht="27" customHeight="1" x14ac:dyDescent="0.3">
      <c r="A121" s="366"/>
      <c r="B121" s="238"/>
      <c r="C121" s="214"/>
      <c r="D121" s="214"/>
      <c r="E121" s="214"/>
      <c r="F121" s="272"/>
      <c r="G121" s="214"/>
      <c r="H121" s="214"/>
      <c r="I121" s="214"/>
    </row>
    <row r="122" spans="1:10" ht="25.5" customHeight="1" x14ac:dyDescent="0.3">
      <c r="A122" s="366"/>
      <c r="B122" s="238"/>
      <c r="C122" s="214"/>
      <c r="D122" s="214"/>
      <c r="E122" s="214"/>
      <c r="F122" s="272"/>
      <c r="G122" s="214"/>
      <c r="H122" s="214"/>
      <c r="I122" s="214"/>
    </row>
    <row r="123" spans="1:10" ht="18.75" x14ac:dyDescent="0.3">
      <c r="A123" s="366"/>
      <c r="B123" s="238"/>
      <c r="C123" s="214"/>
      <c r="D123" s="214"/>
      <c r="E123" s="214"/>
      <c r="F123" s="272"/>
      <c r="G123" s="214"/>
      <c r="H123" s="214"/>
      <c r="I123" s="214"/>
    </row>
    <row r="124" spans="1:10" ht="45.75" customHeight="1" x14ac:dyDescent="0.65">
      <c r="A124" s="225" t="s">
        <v>105</v>
      </c>
      <c r="B124" s="226" t="s">
        <v>125</v>
      </c>
      <c r="C124" s="435" t="str">
        <f>B26</f>
        <v>sulfamethoxazole</v>
      </c>
      <c r="D124" s="435"/>
      <c r="E124" s="214" t="s">
        <v>126</v>
      </c>
      <c r="F124" s="214"/>
      <c r="G124" s="371">
        <f>F115</f>
        <v>89.141932218512181</v>
      </c>
      <c r="H124" s="214"/>
      <c r="I124" s="214"/>
    </row>
    <row r="125" spans="1:10" ht="45.75" customHeight="1" x14ac:dyDescent="0.65">
      <c r="A125" s="225"/>
      <c r="B125" s="226" t="s">
        <v>127</v>
      </c>
      <c r="C125" s="226" t="s">
        <v>128</v>
      </c>
      <c r="D125" s="371">
        <f>MIN(F108:F113)</f>
        <v>88.873181971147332</v>
      </c>
      <c r="E125" s="226" t="s">
        <v>129</v>
      </c>
      <c r="F125" s="371">
        <f>MAX(F108:F113)</f>
        <v>89.459279791363528</v>
      </c>
      <c r="G125" s="318"/>
      <c r="H125" s="214"/>
      <c r="I125" s="214"/>
    </row>
    <row r="126" spans="1:10" ht="19.5" customHeight="1" thickBot="1" x14ac:dyDescent="0.35">
      <c r="A126" s="372"/>
      <c r="B126" s="372"/>
      <c r="C126" s="373"/>
      <c r="D126" s="373"/>
      <c r="E126" s="373"/>
      <c r="F126" s="373"/>
      <c r="G126" s="373"/>
      <c r="H126" s="373"/>
    </row>
    <row r="127" spans="1:10" ht="18.75" x14ac:dyDescent="0.3">
      <c r="B127" s="455" t="s">
        <v>25</v>
      </c>
      <c r="C127" s="455"/>
      <c r="E127" s="321" t="s">
        <v>26</v>
      </c>
      <c r="F127" s="374"/>
      <c r="G127" s="455" t="s">
        <v>27</v>
      </c>
      <c r="H127" s="455"/>
    </row>
    <row r="128" spans="1:10" ht="69.95" customHeight="1" x14ac:dyDescent="0.3">
      <c r="A128" s="225" t="s">
        <v>28</v>
      </c>
      <c r="B128" s="375"/>
      <c r="C128" s="375"/>
      <c r="E128" s="375"/>
      <c r="F128" s="214"/>
      <c r="G128" s="375"/>
      <c r="H128" s="375"/>
    </row>
    <row r="129" spans="1:9" ht="69.95" customHeight="1" x14ac:dyDescent="0.3">
      <c r="A129" s="225" t="s">
        <v>29</v>
      </c>
      <c r="B129" s="376"/>
      <c r="C129" s="376"/>
      <c r="E129" s="376"/>
      <c r="F129" s="214"/>
      <c r="G129" s="377"/>
      <c r="H129" s="377"/>
    </row>
    <row r="130" spans="1:9" ht="18.75" x14ac:dyDescent="0.3">
      <c r="A130" s="272"/>
      <c r="B130" s="272"/>
      <c r="C130" s="272"/>
      <c r="D130" s="272"/>
      <c r="E130" s="272"/>
      <c r="F130" s="274"/>
      <c r="G130" s="272"/>
      <c r="H130" s="272"/>
      <c r="I130" s="214"/>
    </row>
    <row r="131" spans="1:9" ht="18.75" x14ac:dyDescent="0.3">
      <c r="A131" s="272"/>
      <c r="B131" s="272"/>
      <c r="C131" s="272"/>
      <c r="D131" s="272"/>
      <c r="E131" s="272"/>
      <c r="F131" s="274"/>
      <c r="G131" s="272"/>
      <c r="H131" s="272"/>
      <c r="I131" s="214"/>
    </row>
    <row r="132" spans="1:9" ht="18.75" x14ac:dyDescent="0.3">
      <c r="A132" s="272"/>
      <c r="B132" s="272"/>
      <c r="C132" s="272"/>
      <c r="D132" s="272"/>
      <c r="E132" s="272"/>
      <c r="F132" s="274"/>
      <c r="G132" s="272"/>
      <c r="H132" s="272"/>
      <c r="I132" s="214"/>
    </row>
    <row r="133" spans="1:9" ht="18.75" x14ac:dyDescent="0.3">
      <c r="A133" s="272"/>
      <c r="B133" s="272"/>
      <c r="C133" s="272"/>
      <c r="D133" s="272"/>
      <c r="E133" s="272"/>
      <c r="F133" s="274"/>
      <c r="G133" s="272"/>
      <c r="H133" s="272"/>
      <c r="I133" s="214"/>
    </row>
    <row r="134" spans="1:9" ht="18.75" x14ac:dyDescent="0.3">
      <c r="A134" s="272"/>
      <c r="B134" s="272"/>
      <c r="C134" s="272"/>
      <c r="D134" s="272"/>
      <c r="E134" s="272"/>
      <c r="F134" s="274"/>
      <c r="G134" s="272"/>
      <c r="H134" s="272"/>
      <c r="I134" s="214"/>
    </row>
    <row r="135" spans="1:9" ht="18.75" x14ac:dyDescent="0.3">
      <c r="A135" s="272"/>
      <c r="B135" s="272"/>
      <c r="C135" s="272"/>
      <c r="D135" s="272"/>
      <c r="E135" s="272"/>
      <c r="F135" s="274"/>
      <c r="G135" s="272"/>
      <c r="H135" s="272"/>
      <c r="I135" s="214"/>
    </row>
    <row r="136" spans="1:9" ht="18.75" x14ac:dyDescent="0.3">
      <c r="A136" s="272"/>
      <c r="B136" s="272"/>
      <c r="C136" s="272"/>
      <c r="D136" s="272"/>
      <c r="E136" s="272"/>
      <c r="F136" s="274"/>
      <c r="G136" s="272"/>
      <c r="H136" s="272"/>
      <c r="I136" s="214"/>
    </row>
    <row r="137" spans="1:9" ht="18.75" x14ac:dyDescent="0.3">
      <c r="A137" s="272"/>
      <c r="B137" s="272"/>
      <c r="C137" s="272"/>
      <c r="D137" s="272"/>
      <c r="E137" s="272"/>
      <c r="F137" s="274"/>
      <c r="G137" s="272"/>
      <c r="H137" s="272"/>
      <c r="I137" s="214"/>
    </row>
    <row r="138" spans="1:9" ht="18.75" x14ac:dyDescent="0.3">
      <c r="A138" s="272"/>
      <c r="B138" s="272"/>
      <c r="C138" s="272"/>
      <c r="D138" s="272"/>
      <c r="E138" s="272"/>
      <c r="F138" s="274"/>
      <c r="G138" s="272"/>
      <c r="H138" s="272"/>
      <c r="I138" s="214"/>
    </row>
    <row r="250" spans="1:1" x14ac:dyDescent="0.25">
      <c r="A250" s="21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7" zoomScale="42" zoomScaleNormal="40" zoomScalePageLayoutView="42" workbookViewId="0">
      <selection activeCell="B19" sqref="B19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464" t="s">
        <v>44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45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thickBot="1" x14ac:dyDescent="0.35">
      <c r="A15" s="49"/>
    </row>
    <row r="16" spans="1:9" ht="19.5" customHeight="1" thickBot="1" x14ac:dyDescent="0.35">
      <c r="A16" s="466" t="s">
        <v>30</v>
      </c>
      <c r="B16" s="467"/>
      <c r="C16" s="467"/>
      <c r="D16" s="467"/>
      <c r="E16" s="467"/>
      <c r="F16" s="467"/>
      <c r="G16" s="467"/>
      <c r="H16" s="468"/>
    </row>
    <row r="17" spans="1:14" ht="20.25" customHeight="1" x14ac:dyDescent="0.25">
      <c r="A17" s="469" t="s">
        <v>46</v>
      </c>
      <c r="B17" s="469"/>
      <c r="C17" s="469"/>
      <c r="D17" s="469"/>
      <c r="E17" s="469"/>
      <c r="F17" s="469"/>
      <c r="G17" s="469"/>
      <c r="H17" s="469"/>
    </row>
    <row r="18" spans="1:14" ht="26.25" customHeight="1" x14ac:dyDescent="0.4">
      <c r="A18" s="51" t="s">
        <v>32</v>
      </c>
      <c r="B18" s="470" t="s">
        <v>130</v>
      </c>
      <c r="C18" s="470"/>
      <c r="D18" s="52"/>
      <c r="E18" s="53"/>
      <c r="F18" s="54"/>
      <c r="G18" s="54"/>
      <c r="H18" s="54"/>
    </row>
    <row r="19" spans="1:14" ht="26.25" customHeight="1" x14ac:dyDescent="0.4">
      <c r="A19" s="51" t="s">
        <v>33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34</v>
      </c>
      <c r="B20" s="471" t="s">
        <v>9</v>
      </c>
      <c r="C20" s="471"/>
      <c r="D20" s="54"/>
      <c r="E20" s="54"/>
      <c r="F20" s="54"/>
      <c r="G20" s="54"/>
      <c r="H20" s="54"/>
    </row>
    <row r="21" spans="1:14" ht="26.25" customHeight="1" x14ac:dyDescent="0.4">
      <c r="A21" s="51" t="s">
        <v>35</v>
      </c>
      <c r="B21" s="471" t="s">
        <v>9</v>
      </c>
      <c r="C21" s="471"/>
      <c r="D21" s="471"/>
      <c r="E21" s="471"/>
      <c r="F21" s="471"/>
      <c r="G21" s="471"/>
      <c r="H21" s="471"/>
      <c r="I21" s="56"/>
    </row>
    <row r="22" spans="1:14" ht="26.25" customHeight="1" x14ac:dyDescent="0.4">
      <c r="A22" s="51" t="s">
        <v>36</v>
      </c>
      <c r="B22" s="57" t="s">
        <v>131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0" t="s">
        <v>132</v>
      </c>
      <c r="C26" s="470"/>
    </row>
    <row r="27" spans="1:14" ht="26.25" customHeight="1" x14ac:dyDescent="0.4">
      <c r="A27" s="61" t="s">
        <v>47</v>
      </c>
      <c r="B27" s="472" t="s">
        <v>133</v>
      </c>
      <c r="C27" s="472"/>
    </row>
    <row r="28" spans="1:14" ht="27" customHeight="1" thickBot="1" x14ac:dyDescent="0.45">
      <c r="A28" s="61" t="s">
        <v>6</v>
      </c>
      <c r="B28" s="62">
        <v>99.3</v>
      </c>
    </row>
    <row r="29" spans="1:14" s="64" customFormat="1" ht="27" customHeight="1" thickBot="1" x14ac:dyDescent="0.45">
      <c r="A29" s="61" t="s">
        <v>48</v>
      </c>
      <c r="B29" s="63">
        <v>0</v>
      </c>
      <c r="C29" s="473" t="s">
        <v>49</v>
      </c>
      <c r="D29" s="474"/>
      <c r="E29" s="474"/>
      <c r="F29" s="474"/>
      <c r="G29" s="475"/>
      <c r="I29" s="65"/>
      <c r="J29" s="65"/>
      <c r="K29" s="65"/>
      <c r="L29" s="65"/>
    </row>
    <row r="30" spans="1:14" s="64" customFormat="1" ht="19.5" customHeight="1" thickBot="1" x14ac:dyDescent="0.35">
      <c r="A30" s="61" t="s">
        <v>50</v>
      </c>
      <c r="B30" s="66">
        <f>B28-B29</f>
        <v>99.3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51</v>
      </c>
      <c r="B31" s="69">
        <v>1</v>
      </c>
      <c r="C31" s="461" t="s">
        <v>52</v>
      </c>
      <c r="D31" s="462"/>
      <c r="E31" s="462"/>
      <c r="F31" s="462"/>
      <c r="G31" s="462"/>
      <c r="H31" s="463"/>
      <c r="I31" s="65"/>
      <c r="J31" s="65"/>
      <c r="K31" s="65"/>
      <c r="L31" s="65"/>
    </row>
    <row r="32" spans="1:14" s="64" customFormat="1" ht="27" customHeight="1" thickBot="1" x14ac:dyDescent="0.45">
      <c r="A32" s="61" t="s">
        <v>53</v>
      </c>
      <c r="B32" s="69">
        <v>1</v>
      </c>
      <c r="C32" s="461" t="s">
        <v>54</v>
      </c>
      <c r="D32" s="462"/>
      <c r="E32" s="462"/>
      <c r="F32" s="462"/>
      <c r="G32" s="462"/>
      <c r="H32" s="463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55</v>
      </c>
      <c r="B34" s="74">
        <f>B31/B32</f>
        <v>1</v>
      </c>
      <c r="C34" s="49" t="s">
        <v>56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57</v>
      </c>
      <c r="B36" s="76">
        <v>25</v>
      </c>
      <c r="C36" s="49"/>
      <c r="D36" s="477" t="s">
        <v>58</v>
      </c>
      <c r="E36" s="478"/>
      <c r="F36" s="477" t="s">
        <v>59</v>
      </c>
      <c r="G36" s="479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60</v>
      </c>
      <c r="B37" s="78">
        <v>4</v>
      </c>
      <c r="C37" s="79" t="s">
        <v>61</v>
      </c>
      <c r="D37" s="80" t="s">
        <v>62</v>
      </c>
      <c r="E37" s="81" t="s">
        <v>63</v>
      </c>
      <c r="F37" s="80" t="s">
        <v>62</v>
      </c>
      <c r="G37" s="82" t="s">
        <v>63</v>
      </c>
      <c r="I37" s="83" t="s">
        <v>64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65</v>
      </c>
      <c r="B38" s="78">
        <v>100</v>
      </c>
      <c r="C38" s="84">
        <v>1</v>
      </c>
      <c r="D38" s="85">
        <v>2663001</v>
      </c>
      <c r="E38" s="86">
        <f>IF(ISBLANK(D38),"-",$D$48/$D$45*D38)</f>
        <v>2436868.1634686785</v>
      </c>
      <c r="F38" s="85">
        <v>2361570</v>
      </c>
      <c r="G38" s="87">
        <f>IF(ISBLANK(F38),"-",$D$48/$F$45*F38)</f>
        <v>2504705.1318152822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66</v>
      </c>
      <c r="B39" s="78">
        <v>1</v>
      </c>
      <c r="C39" s="89">
        <v>2</v>
      </c>
      <c r="D39" s="90">
        <v>2662338</v>
      </c>
      <c r="E39" s="91">
        <f>IF(ISBLANK(D39),"-",$D$48/$D$45*D39)</f>
        <v>2436261.4631360914</v>
      </c>
      <c r="F39" s="90">
        <v>2353619</v>
      </c>
      <c r="G39" s="92">
        <f>IF(ISBLANK(F39),"-",$D$48/$F$45*F39)</f>
        <v>2496272.2204457</v>
      </c>
      <c r="I39" s="480">
        <f>ABS((F43/D43*D42)-F42)/D42</f>
        <v>1.7458445714515505E-2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67</v>
      </c>
      <c r="B40" s="78">
        <v>1</v>
      </c>
      <c r="C40" s="89">
        <v>3</v>
      </c>
      <c r="D40" s="90">
        <v>2698466</v>
      </c>
      <c r="E40" s="91">
        <f>IF(ISBLANK(D40),"-",$D$48/$D$45*D40)</f>
        <v>2469321.5983030689</v>
      </c>
      <c r="F40" s="90">
        <v>2347750</v>
      </c>
      <c r="G40" s="92">
        <f>IF(ISBLANK(F40),"-",$D$48/$F$45*F40)</f>
        <v>2490047.4994259449</v>
      </c>
      <c r="I40" s="480"/>
      <c r="L40" s="70"/>
      <c r="M40" s="70"/>
      <c r="N40" s="49"/>
    </row>
    <row r="41" spans="1:14" ht="27" customHeight="1" thickBot="1" x14ac:dyDescent="0.45">
      <c r="A41" s="77" t="s">
        <v>68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69</v>
      </c>
      <c r="B42" s="78">
        <v>1</v>
      </c>
      <c r="C42" s="98" t="s">
        <v>70</v>
      </c>
      <c r="D42" s="99">
        <f>AVERAGE(D38:D41)</f>
        <v>2674601.6666666665</v>
      </c>
      <c r="E42" s="100">
        <f>AVERAGE(E38:E41)</f>
        <v>2447483.7416359461</v>
      </c>
      <c r="F42" s="99">
        <f>AVERAGE(F38:F41)</f>
        <v>2354313</v>
      </c>
      <c r="G42" s="101">
        <f>AVERAGE(G38:G41)</f>
        <v>2497008.2838956425</v>
      </c>
      <c r="H42" s="102"/>
    </row>
    <row r="43" spans="1:14" ht="26.25" customHeight="1" x14ac:dyDescent="0.4">
      <c r="A43" s="77" t="s">
        <v>71</v>
      </c>
      <c r="B43" s="78">
        <v>1</v>
      </c>
      <c r="C43" s="103" t="s">
        <v>72</v>
      </c>
      <c r="D43" s="104">
        <v>22.01</v>
      </c>
      <c r="E43" s="49"/>
      <c r="F43" s="104">
        <v>18.989999999999998</v>
      </c>
      <c r="H43" s="102"/>
    </row>
    <row r="44" spans="1:14" ht="26.25" customHeight="1" x14ac:dyDescent="0.4">
      <c r="A44" s="77" t="s">
        <v>73</v>
      </c>
      <c r="B44" s="78">
        <v>1</v>
      </c>
      <c r="C44" s="105" t="s">
        <v>74</v>
      </c>
      <c r="D44" s="106">
        <f>D43*$B$34</f>
        <v>22.01</v>
      </c>
      <c r="E44" s="107"/>
      <c r="F44" s="106">
        <f>F43*$B$34</f>
        <v>18.989999999999998</v>
      </c>
      <c r="H44" s="102"/>
    </row>
    <row r="45" spans="1:14" ht="19.5" customHeight="1" thickBot="1" x14ac:dyDescent="0.35">
      <c r="A45" s="77" t="s">
        <v>75</v>
      </c>
      <c r="B45" s="89">
        <f>(B44/B43)*(B42/B41)*(B40/B39)*(B38/B37)*B36</f>
        <v>625</v>
      </c>
      <c r="C45" s="105" t="s">
        <v>76</v>
      </c>
      <c r="D45" s="108">
        <f>D44*$B$30/100</f>
        <v>21.855930000000004</v>
      </c>
      <c r="E45" s="109"/>
      <c r="F45" s="108">
        <f>F44*$B$30/100</f>
        <v>18.85707</v>
      </c>
      <c r="H45" s="102"/>
    </row>
    <row r="46" spans="1:14" ht="19.5" customHeight="1" thickBot="1" x14ac:dyDescent="0.35">
      <c r="A46" s="481" t="s">
        <v>77</v>
      </c>
      <c r="B46" s="482"/>
      <c r="C46" s="105" t="s">
        <v>78</v>
      </c>
      <c r="D46" s="110">
        <f>D45/$B$45</f>
        <v>3.4969488000000007E-2</v>
      </c>
      <c r="E46" s="111"/>
      <c r="F46" s="112">
        <f>F45/$B$45</f>
        <v>3.0171311999999999E-2</v>
      </c>
      <c r="H46" s="102"/>
    </row>
    <row r="47" spans="1:14" ht="27" customHeight="1" thickBot="1" x14ac:dyDescent="0.45">
      <c r="A47" s="483"/>
      <c r="B47" s="484"/>
      <c r="C47" s="113" t="s">
        <v>79</v>
      </c>
      <c r="D47" s="114">
        <v>3.2000000000000001E-2</v>
      </c>
      <c r="E47" s="115"/>
      <c r="F47" s="111"/>
      <c r="H47" s="102"/>
    </row>
    <row r="48" spans="1:14" ht="18.75" x14ac:dyDescent="0.3">
      <c r="C48" s="116" t="s">
        <v>80</v>
      </c>
      <c r="D48" s="108">
        <f>D47*$B$45</f>
        <v>20</v>
      </c>
      <c r="F48" s="117"/>
      <c r="H48" s="102"/>
    </row>
    <row r="49" spans="1:12" ht="19.5" customHeight="1" thickBot="1" x14ac:dyDescent="0.35">
      <c r="C49" s="118" t="s">
        <v>81</v>
      </c>
      <c r="D49" s="119">
        <f>D48/B34</f>
        <v>20</v>
      </c>
      <c r="F49" s="117"/>
      <c r="H49" s="102"/>
    </row>
    <row r="50" spans="1:12" ht="18.75" x14ac:dyDescent="0.3">
      <c r="C50" s="75" t="s">
        <v>82</v>
      </c>
      <c r="D50" s="120">
        <f>AVERAGE(E38:E41,G38:G41)</f>
        <v>2472246.0127657945</v>
      </c>
      <c r="F50" s="121"/>
      <c r="H50" s="102"/>
    </row>
    <row r="51" spans="1:12" ht="18.75" x14ac:dyDescent="0.3">
      <c r="C51" s="77" t="s">
        <v>83</v>
      </c>
      <c r="D51" s="122">
        <f>STDEV(E38:E41,G38:G41)/D50</f>
        <v>1.2138459994121116E-2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84</v>
      </c>
    </row>
    <row r="55" spans="1:12" ht="18.75" x14ac:dyDescent="0.3">
      <c r="A55" s="49" t="s">
        <v>85</v>
      </c>
      <c r="B55" s="127" t="str">
        <f>B21</f>
        <v>Sulphamethoxazole 800 mg, Trimethoprim 160 mg</v>
      </c>
    </row>
    <row r="56" spans="1:12" ht="26.25" customHeight="1" x14ac:dyDescent="0.4">
      <c r="A56" s="127" t="s">
        <v>86</v>
      </c>
      <c r="B56" s="128">
        <v>160</v>
      </c>
      <c r="C56" s="49" t="str">
        <f>B20</f>
        <v>Sulphamethoxazole 800 mg, Trimethoprim 160 mg</v>
      </c>
      <c r="H56" s="107"/>
    </row>
    <row r="57" spans="1:12" ht="18.75" x14ac:dyDescent="0.3">
      <c r="A57" s="127" t="s">
        <v>87</v>
      </c>
      <c r="B57" s="129">
        <f>Uniformity!C46</f>
        <v>1046.5535000000002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88</v>
      </c>
      <c r="B59" s="76">
        <v>100</v>
      </c>
      <c r="C59" s="49"/>
      <c r="D59" s="130" t="s">
        <v>89</v>
      </c>
      <c r="E59" s="131" t="s">
        <v>61</v>
      </c>
      <c r="F59" s="131" t="s">
        <v>62</v>
      </c>
      <c r="G59" s="131" t="s">
        <v>90</v>
      </c>
      <c r="H59" s="79" t="s">
        <v>91</v>
      </c>
      <c r="L59" s="65"/>
    </row>
    <row r="60" spans="1:12" s="64" customFormat="1" ht="26.25" customHeight="1" x14ac:dyDescent="0.4">
      <c r="A60" s="77" t="s">
        <v>92</v>
      </c>
      <c r="B60" s="78">
        <v>2</v>
      </c>
      <c r="C60" s="485" t="s">
        <v>93</v>
      </c>
      <c r="D60" s="488">
        <v>1039.9100000000001</v>
      </c>
      <c r="E60" s="132">
        <v>1</v>
      </c>
      <c r="F60" s="133">
        <v>2679606</v>
      </c>
      <c r="G60" s="134">
        <f>IF(ISBLANK(F60),"-",(F60/$D$50*$D$47*$B$68)*($B$57/$D$60))</f>
        <v>174.52792248685569</v>
      </c>
      <c r="H60" s="135">
        <f t="shared" ref="H60:H71" si="0">IF(ISBLANK(F60),"-",(G60/$B$56)*100)</f>
        <v>109.0799515542848</v>
      </c>
      <c r="L60" s="65"/>
    </row>
    <row r="61" spans="1:12" s="64" customFormat="1" ht="26.25" customHeight="1" x14ac:dyDescent="0.4">
      <c r="A61" s="77" t="s">
        <v>94</v>
      </c>
      <c r="B61" s="78">
        <v>100</v>
      </c>
      <c r="C61" s="486"/>
      <c r="D61" s="489"/>
      <c r="E61" s="136">
        <v>2</v>
      </c>
      <c r="F61" s="90">
        <v>2670755</v>
      </c>
      <c r="G61" s="137">
        <f>IF(ISBLANK(F61),"-",(F61/$D$50*$D$47*$B$68)*($B$57/$D$60))</f>
        <v>173.95143973456629</v>
      </c>
      <c r="H61" s="138">
        <f t="shared" si="0"/>
        <v>108.71964983410393</v>
      </c>
      <c r="L61" s="65"/>
    </row>
    <row r="62" spans="1:12" s="64" customFormat="1" ht="26.25" customHeight="1" x14ac:dyDescent="0.4">
      <c r="A62" s="77" t="s">
        <v>95</v>
      </c>
      <c r="B62" s="78">
        <v>1</v>
      </c>
      <c r="C62" s="486"/>
      <c r="D62" s="489"/>
      <c r="E62" s="136">
        <v>3</v>
      </c>
      <c r="F62" s="139">
        <v>2709953</v>
      </c>
      <c r="G62" s="137">
        <f>IF(ISBLANK(F62),"-",(F62/$D$50*$D$47*$B$68)*($B$57/$D$60))</f>
        <v>176.50448130322965</v>
      </c>
      <c r="H62" s="138">
        <f t="shared" si="0"/>
        <v>110.31530081451852</v>
      </c>
      <c r="L62" s="65"/>
    </row>
    <row r="63" spans="1:12" ht="27" customHeight="1" thickBot="1" x14ac:dyDescent="0.45">
      <c r="A63" s="77" t="s">
        <v>96</v>
      </c>
      <c r="B63" s="78">
        <v>1</v>
      </c>
      <c r="C63" s="487"/>
      <c r="D63" s="490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97</v>
      </c>
      <c r="B64" s="78">
        <v>1</v>
      </c>
      <c r="C64" s="485" t="s">
        <v>98</v>
      </c>
      <c r="D64" s="488">
        <v>1045.42</v>
      </c>
      <c r="E64" s="132">
        <v>1</v>
      </c>
      <c r="F64" s="133"/>
      <c r="G64" s="134" t="str">
        <f>IF(ISBLANK(F64),"-",(F64/$D$50*$D$47*$B$68)*($B$57/$D$64))</f>
        <v>-</v>
      </c>
      <c r="H64" s="135" t="str">
        <f t="shared" si="0"/>
        <v>-</v>
      </c>
    </row>
    <row r="65" spans="1:8" ht="26.25" customHeight="1" x14ac:dyDescent="0.4">
      <c r="A65" s="77" t="s">
        <v>99</v>
      </c>
      <c r="B65" s="78">
        <v>1</v>
      </c>
      <c r="C65" s="486"/>
      <c r="D65" s="489"/>
      <c r="E65" s="136">
        <v>2</v>
      </c>
      <c r="F65" s="90"/>
      <c r="G65" s="137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7" t="s">
        <v>100</v>
      </c>
      <c r="B66" s="78">
        <v>1</v>
      </c>
      <c r="C66" s="486"/>
      <c r="D66" s="489"/>
      <c r="E66" s="136">
        <v>3</v>
      </c>
      <c r="F66" s="90"/>
      <c r="G66" s="137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7" t="s">
        <v>101</v>
      </c>
      <c r="B67" s="78">
        <v>1</v>
      </c>
      <c r="C67" s="487"/>
      <c r="D67" s="490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102</v>
      </c>
      <c r="B68" s="144">
        <f>(B67/B66)*(B65/B64)*(B63/B62)*(B61/B60)*B59</f>
        <v>5000</v>
      </c>
      <c r="C68" s="485" t="s">
        <v>103</v>
      </c>
      <c r="D68" s="488">
        <v>1040.42</v>
      </c>
      <c r="E68" s="132">
        <v>1</v>
      </c>
      <c r="F68" s="133">
        <v>2630513</v>
      </c>
      <c r="G68" s="134">
        <f>IF(ISBLANK(F68),"-",(F68/$D$50*$D$47*$B$68)*($B$57/$D$68))</f>
        <v>171.24641655032997</v>
      </c>
      <c r="H68" s="138">
        <f t="shared" si="0"/>
        <v>107.02901034395622</v>
      </c>
    </row>
    <row r="69" spans="1:8" ht="27" customHeight="1" thickBot="1" x14ac:dyDescent="0.45">
      <c r="A69" s="123" t="s">
        <v>104</v>
      </c>
      <c r="B69" s="145">
        <f>(D47*B68)/B56*B57</f>
        <v>1046.5535000000002</v>
      </c>
      <c r="C69" s="486"/>
      <c r="D69" s="489"/>
      <c r="E69" s="136">
        <v>2</v>
      </c>
      <c r="F69" s="90">
        <v>2692211</v>
      </c>
      <c r="G69" s="137">
        <f>IF(ISBLANK(F69),"-",(F69/$D$50*$D$47*$B$68)*($B$57/$D$68))</f>
        <v>175.26295682529619</v>
      </c>
      <c r="H69" s="138">
        <f t="shared" si="0"/>
        <v>109.53934801581011</v>
      </c>
    </row>
    <row r="70" spans="1:8" ht="26.25" customHeight="1" x14ac:dyDescent="0.4">
      <c r="A70" s="492" t="s">
        <v>77</v>
      </c>
      <c r="B70" s="493"/>
      <c r="C70" s="486"/>
      <c r="D70" s="489"/>
      <c r="E70" s="136">
        <v>3</v>
      </c>
      <c r="F70" s="90">
        <v>2687669</v>
      </c>
      <c r="G70" s="137">
        <f>IF(ISBLANK(F70),"-",(F70/$D$50*$D$47*$B$68)*($B$57/$D$68))</f>
        <v>174.96727259033077</v>
      </c>
      <c r="H70" s="138">
        <f t="shared" si="0"/>
        <v>109.35454536895672</v>
      </c>
    </row>
    <row r="71" spans="1:8" ht="27" customHeight="1" thickBot="1" x14ac:dyDescent="0.45">
      <c r="A71" s="494"/>
      <c r="B71" s="495"/>
      <c r="C71" s="491"/>
      <c r="D71" s="490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70</v>
      </c>
      <c r="G72" s="147">
        <f>AVERAGE(G60:G71)</f>
        <v>174.41008158176808</v>
      </c>
      <c r="H72" s="148">
        <f>AVERAGE(H60:H71)</f>
        <v>109.00630098860505</v>
      </c>
    </row>
    <row r="73" spans="1:8" ht="26.25" customHeight="1" x14ac:dyDescent="0.4">
      <c r="C73" s="107"/>
      <c r="D73" s="107"/>
      <c r="E73" s="107"/>
      <c r="F73" s="149" t="s">
        <v>83</v>
      </c>
      <c r="G73" s="150">
        <f>STDEV(G60:G71)/G72</f>
        <v>1.0146190364748273E-2</v>
      </c>
      <c r="H73" s="150">
        <f>STDEV(H60:H71)/H72</f>
        <v>1.0146190364748281E-2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6</v>
      </c>
      <c r="H74" s="152">
        <f>COUNT(H60:H71)</f>
        <v>6</v>
      </c>
    </row>
    <row r="76" spans="1:8" ht="26.25" customHeight="1" x14ac:dyDescent="0.4">
      <c r="A76" s="60" t="s">
        <v>105</v>
      </c>
      <c r="B76" s="61" t="s">
        <v>106</v>
      </c>
      <c r="C76" s="476" t="str">
        <f>B26</f>
        <v>Trimethoprim</v>
      </c>
      <c r="D76" s="476"/>
      <c r="E76" s="49" t="s">
        <v>107</v>
      </c>
      <c r="F76" s="49"/>
      <c r="G76" s="153">
        <f>H72</f>
        <v>109.00630098860505</v>
      </c>
      <c r="H76" s="66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7" t="str">
        <f>B26</f>
        <v>Trimethoprim</v>
      </c>
      <c r="C79" s="497"/>
    </row>
    <row r="80" spans="1:8" ht="26.25" customHeight="1" x14ac:dyDescent="0.4">
      <c r="A80" s="61" t="s">
        <v>47</v>
      </c>
      <c r="B80" s="497" t="str">
        <f>B27</f>
        <v>T17-4</v>
      </c>
      <c r="C80" s="497"/>
    </row>
    <row r="81" spans="1:12" ht="27" customHeight="1" thickBot="1" x14ac:dyDescent="0.45">
      <c r="A81" s="61" t="s">
        <v>6</v>
      </c>
      <c r="B81" s="62">
        <f>B28</f>
        <v>99.3</v>
      </c>
    </row>
    <row r="82" spans="1:12" s="64" customFormat="1" ht="27" customHeight="1" thickBot="1" x14ac:dyDescent="0.45">
      <c r="A82" s="61" t="s">
        <v>48</v>
      </c>
      <c r="B82" s="63">
        <v>0</v>
      </c>
      <c r="C82" s="473" t="s">
        <v>49</v>
      </c>
      <c r="D82" s="474"/>
      <c r="E82" s="474"/>
      <c r="F82" s="474"/>
      <c r="G82" s="475"/>
      <c r="I82" s="65"/>
      <c r="J82" s="65"/>
      <c r="K82" s="65"/>
      <c r="L82" s="65"/>
    </row>
    <row r="83" spans="1:12" s="64" customFormat="1" ht="19.5" customHeight="1" thickBot="1" x14ac:dyDescent="0.35">
      <c r="A83" s="61" t="s">
        <v>50</v>
      </c>
      <c r="B83" s="66">
        <f>B81-B82</f>
        <v>99.3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51</v>
      </c>
      <c r="B84" s="69">
        <v>1</v>
      </c>
      <c r="C84" s="461" t="s">
        <v>110</v>
      </c>
      <c r="D84" s="462"/>
      <c r="E84" s="462"/>
      <c r="F84" s="462"/>
      <c r="G84" s="462"/>
      <c r="H84" s="463"/>
      <c r="I84" s="65"/>
      <c r="J84" s="65"/>
      <c r="K84" s="65"/>
      <c r="L84" s="65"/>
    </row>
    <row r="85" spans="1:12" s="64" customFormat="1" ht="27" customHeight="1" thickBot="1" x14ac:dyDescent="0.45">
      <c r="A85" s="61" t="s">
        <v>53</v>
      </c>
      <c r="B85" s="69">
        <v>1</v>
      </c>
      <c r="C85" s="461" t="s">
        <v>111</v>
      </c>
      <c r="D85" s="462"/>
      <c r="E85" s="462"/>
      <c r="F85" s="462"/>
      <c r="G85" s="462"/>
      <c r="H85" s="463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55</v>
      </c>
      <c r="B87" s="74">
        <f>B84/B85</f>
        <v>1</v>
      </c>
      <c r="C87" s="49" t="s">
        <v>56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57</v>
      </c>
      <c r="B89" s="76">
        <v>25</v>
      </c>
      <c r="D89" s="154" t="s">
        <v>58</v>
      </c>
      <c r="E89" s="155"/>
      <c r="F89" s="477" t="s">
        <v>59</v>
      </c>
      <c r="G89" s="479"/>
    </row>
    <row r="90" spans="1:12" ht="27" customHeight="1" thickBot="1" x14ac:dyDescent="0.45">
      <c r="A90" s="77" t="s">
        <v>60</v>
      </c>
      <c r="B90" s="78">
        <v>4</v>
      </c>
      <c r="C90" s="156" t="s">
        <v>61</v>
      </c>
      <c r="D90" s="80" t="s">
        <v>62</v>
      </c>
      <c r="E90" s="81" t="s">
        <v>63</v>
      </c>
      <c r="F90" s="80" t="s">
        <v>62</v>
      </c>
      <c r="G90" s="157" t="s">
        <v>63</v>
      </c>
      <c r="I90" s="83" t="s">
        <v>64</v>
      </c>
    </row>
    <row r="91" spans="1:12" ht="26.25" customHeight="1" x14ac:dyDescent="0.4">
      <c r="A91" s="77" t="s">
        <v>65</v>
      </c>
      <c r="B91" s="78">
        <v>100</v>
      </c>
      <c r="C91" s="158">
        <v>1</v>
      </c>
      <c r="D91" s="85">
        <v>2663001</v>
      </c>
      <c r="E91" s="86">
        <f>IF(ISBLANK(D91),"-",$D$101/$D$98*D91)</f>
        <v>2707631.2927429755</v>
      </c>
      <c r="F91" s="85">
        <v>2361570</v>
      </c>
      <c r="G91" s="87">
        <f>IF(ISBLANK(F91),"-",$D$101/$F$98*F91)</f>
        <v>2783005.7020169799</v>
      </c>
      <c r="I91" s="88"/>
    </row>
    <row r="92" spans="1:12" ht="26.25" customHeight="1" x14ac:dyDescent="0.4">
      <c r="A92" s="77" t="s">
        <v>66</v>
      </c>
      <c r="B92" s="78">
        <v>1</v>
      </c>
      <c r="C92" s="107">
        <v>2</v>
      </c>
      <c r="D92" s="90">
        <v>2662338</v>
      </c>
      <c r="E92" s="91">
        <f>IF(ISBLANK(D92),"-",$D$101/$D$98*D92)</f>
        <v>2706957.1812623232</v>
      </c>
      <c r="F92" s="90">
        <v>2353619</v>
      </c>
      <c r="G92" s="92">
        <f>IF(ISBLANK(F92),"-",$D$101/$F$98*F92)</f>
        <v>2773635.8004952227</v>
      </c>
      <c r="I92" s="480">
        <f>ABS((F96/D96*D95)-F95)/D95</f>
        <v>1.7458445714515505E-2</v>
      </c>
    </row>
    <row r="93" spans="1:12" ht="26.25" customHeight="1" x14ac:dyDescent="0.4">
      <c r="A93" s="77" t="s">
        <v>67</v>
      </c>
      <c r="B93" s="78">
        <v>1</v>
      </c>
      <c r="C93" s="107">
        <v>3</v>
      </c>
      <c r="D93" s="90">
        <v>2698466</v>
      </c>
      <c r="E93" s="91">
        <f>IF(ISBLANK(D93),"-",$D$101/$D$98*D93)</f>
        <v>2743690.6647811872</v>
      </c>
      <c r="F93" s="90">
        <v>2347750</v>
      </c>
      <c r="G93" s="92">
        <f>IF(ISBLANK(F93),"-",$D$101/$F$98*F93)</f>
        <v>2766719.4438066054</v>
      </c>
      <c r="I93" s="480"/>
    </row>
    <row r="94" spans="1:12" ht="27" customHeight="1" thickBot="1" x14ac:dyDescent="0.45">
      <c r="A94" s="77" t="s">
        <v>68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69</v>
      </c>
      <c r="B95" s="78">
        <v>1</v>
      </c>
      <c r="C95" s="61" t="s">
        <v>70</v>
      </c>
      <c r="D95" s="161">
        <f>AVERAGE(D91:D94)</f>
        <v>2674601.6666666665</v>
      </c>
      <c r="E95" s="100">
        <f>AVERAGE(E91:E94)</f>
        <v>2719426.3795954953</v>
      </c>
      <c r="F95" s="162">
        <f>AVERAGE(F91:F94)</f>
        <v>2354313</v>
      </c>
      <c r="G95" s="163">
        <f>AVERAGE(G91:G94)</f>
        <v>2774453.6487729358</v>
      </c>
    </row>
    <row r="96" spans="1:12" ht="26.25" customHeight="1" x14ac:dyDescent="0.4">
      <c r="A96" s="77" t="s">
        <v>71</v>
      </c>
      <c r="B96" s="62">
        <v>1</v>
      </c>
      <c r="C96" s="164" t="s">
        <v>112</v>
      </c>
      <c r="D96" s="165">
        <v>22.01</v>
      </c>
      <c r="E96" s="49"/>
      <c r="F96" s="104">
        <v>18.989999999999998</v>
      </c>
    </row>
    <row r="97" spans="1:10" ht="26.25" customHeight="1" x14ac:dyDescent="0.4">
      <c r="A97" s="77" t="s">
        <v>73</v>
      </c>
      <c r="B97" s="62">
        <v>1</v>
      </c>
      <c r="C97" s="166" t="s">
        <v>113</v>
      </c>
      <c r="D97" s="167">
        <f>D96*$B$87</f>
        <v>22.01</v>
      </c>
      <c r="E97" s="107"/>
      <c r="F97" s="106">
        <f>F96*$B$87</f>
        <v>18.989999999999998</v>
      </c>
    </row>
    <row r="98" spans="1:10" ht="19.5" customHeight="1" thickBot="1" x14ac:dyDescent="0.35">
      <c r="A98" s="77" t="s">
        <v>75</v>
      </c>
      <c r="B98" s="107">
        <f>(B97/B96)*(B95/B94)*(B93/B92)*(B91/B90)*B89</f>
        <v>625</v>
      </c>
      <c r="C98" s="166" t="s">
        <v>114</v>
      </c>
      <c r="D98" s="168">
        <f>D97*$B$83/100</f>
        <v>21.855930000000004</v>
      </c>
      <c r="E98" s="109"/>
      <c r="F98" s="108">
        <f>F97*$B$83/100</f>
        <v>18.85707</v>
      </c>
    </row>
    <row r="99" spans="1:10" ht="19.5" customHeight="1" thickBot="1" x14ac:dyDescent="0.35">
      <c r="A99" s="481" t="s">
        <v>77</v>
      </c>
      <c r="B99" s="498"/>
      <c r="C99" s="166" t="s">
        <v>115</v>
      </c>
      <c r="D99" s="169">
        <f>D98/$B$98</f>
        <v>3.4969488000000007E-2</v>
      </c>
      <c r="E99" s="109"/>
      <c r="F99" s="112">
        <f>F98/$B$98</f>
        <v>3.0171311999999999E-2</v>
      </c>
      <c r="H99" s="102"/>
    </row>
    <row r="100" spans="1:10" ht="19.5" customHeight="1" thickBot="1" x14ac:dyDescent="0.35">
      <c r="A100" s="483"/>
      <c r="B100" s="499"/>
      <c r="C100" s="166" t="s">
        <v>79</v>
      </c>
      <c r="D100" s="170">
        <f>$B$56/$B$116</f>
        <v>3.5555555555555556E-2</v>
      </c>
      <c r="F100" s="117"/>
      <c r="G100" s="171"/>
      <c r="H100" s="102"/>
    </row>
    <row r="101" spans="1:10" ht="18.75" x14ac:dyDescent="0.3">
      <c r="C101" s="166" t="s">
        <v>80</v>
      </c>
      <c r="D101" s="167">
        <f>D100*$B$98</f>
        <v>22.222222222222221</v>
      </c>
      <c r="F101" s="117"/>
      <c r="H101" s="102"/>
    </row>
    <row r="102" spans="1:10" ht="19.5" customHeight="1" thickBot="1" x14ac:dyDescent="0.35">
      <c r="C102" s="172" t="s">
        <v>81</v>
      </c>
      <c r="D102" s="173">
        <f>D101/B34</f>
        <v>22.222222222222221</v>
      </c>
      <c r="F102" s="121"/>
      <c r="H102" s="102"/>
      <c r="J102" s="174"/>
    </row>
    <row r="103" spans="1:10" ht="18.75" x14ac:dyDescent="0.3">
      <c r="C103" s="175" t="s">
        <v>116</v>
      </c>
      <c r="D103" s="176">
        <f>AVERAGE(E91:E94,G91:G94)</f>
        <v>2746940.0141842156</v>
      </c>
      <c r="F103" s="121"/>
      <c r="G103" s="171"/>
      <c r="H103" s="102"/>
      <c r="J103" s="177"/>
    </row>
    <row r="104" spans="1:10" ht="18.75" x14ac:dyDescent="0.3">
      <c r="C104" s="149" t="s">
        <v>83</v>
      </c>
      <c r="D104" s="178">
        <f>STDEV(E91:E94,G91:G94)/D103</f>
        <v>1.2138459994121227E-2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117</v>
      </c>
      <c r="B107" s="76">
        <v>900</v>
      </c>
      <c r="C107" s="131" t="s">
        <v>118</v>
      </c>
      <c r="D107" s="131" t="s">
        <v>62</v>
      </c>
      <c r="E107" s="131" t="s">
        <v>119</v>
      </c>
      <c r="F107" s="180" t="s">
        <v>120</v>
      </c>
    </row>
    <row r="108" spans="1:10" ht="26.25" customHeight="1" x14ac:dyDescent="0.4">
      <c r="A108" s="77" t="s">
        <v>121</v>
      </c>
      <c r="B108" s="78">
        <v>10</v>
      </c>
      <c r="C108" s="132">
        <v>1</v>
      </c>
      <c r="D108" s="181">
        <v>2822228</v>
      </c>
      <c r="E108" s="182">
        <f t="shared" ref="E108:E113" si="1">IF(ISBLANK(D108),"-",D108/$D$103*$D$100*$B$116)</f>
        <v>164.38527149057637</v>
      </c>
      <c r="F108" s="183">
        <f t="shared" ref="F108:F113" si="2">IF(ISBLANK(D108), "-", (E108/$B$56)*100)</f>
        <v>102.74079468161024</v>
      </c>
    </row>
    <row r="109" spans="1:10" ht="26.25" customHeight="1" x14ac:dyDescent="0.4">
      <c r="A109" s="77" t="s">
        <v>94</v>
      </c>
      <c r="B109" s="78">
        <v>50</v>
      </c>
      <c r="C109" s="136">
        <v>2</v>
      </c>
      <c r="D109" s="184">
        <v>2805729</v>
      </c>
      <c r="E109" s="185">
        <f t="shared" si="1"/>
        <v>163.42426033402805</v>
      </c>
      <c r="F109" s="186">
        <f t="shared" si="2"/>
        <v>102.14016270876753</v>
      </c>
    </row>
    <row r="110" spans="1:10" ht="26.25" customHeight="1" x14ac:dyDescent="0.4">
      <c r="A110" s="77" t="s">
        <v>95</v>
      </c>
      <c r="B110" s="78">
        <v>1</v>
      </c>
      <c r="C110" s="136">
        <v>3</v>
      </c>
      <c r="D110" s="184">
        <v>2807912</v>
      </c>
      <c r="E110" s="185">
        <f t="shared" si="1"/>
        <v>163.55141272840015</v>
      </c>
      <c r="F110" s="186">
        <f t="shared" si="2"/>
        <v>102.21963295525009</v>
      </c>
    </row>
    <row r="111" spans="1:10" ht="26.25" customHeight="1" x14ac:dyDescent="0.4">
      <c r="A111" s="77" t="s">
        <v>96</v>
      </c>
      <c r="B111" s="78">
        <v>1</v>
      </c>
      <c r="C111" s="136">
        <v>4</v>
      </c>
      <c r="D111" s="184">
        <v>2824319</v>
      </c>
      <c r="E111" s="185">
        <f t="shared" si="1"/>
        <v>164.50706519494287</v>
      </c>
      <c r="F111" s="186">
        <f t="shared" si="2"/>
        <v>102.81691574683929</v>
      </c>
    </row>
    <row r="112" spans="1:10" ht="26.25" customHeight="1" x14ac:dyDescent="0.4">
      <c r="A112" s="77" t="s">
        <v>97</v>
      </c>
      <c r="B112" s="78">
        <v>1</v>
      </c>
      <c r="C112" s="136">
        <v>5</v>
      </c>
      <c r="D112" s="184">
        <v>2815137</v>
      </c>
      <c r="E112" s="185">
        <f t="shared" si="1"/>
        <v>163.97224463373144</v>
      </c>
      <c r="F112" s="186">
        <f t="shared" si="2"/>
        <v>102.48265289608214</v>
      </c>
    </row>
    <row r="113" spans="1:10" ht="27" customHeight="1" thickBot="1" x14ac:dyDescent="0.45">
      <c r="A113" s="77" t="s">
        <v>99</v>
      </c>
      <c r="B113" s="78">
        <v>1</v>
      </c>
      <c r="C113" s="140">
        <v>6</v>
      </c>
      <c r="D113" s="187">
        <v>2808127</v>
      </c>
      <c r="E113" s="188">
        <f t="shared" si="1"/>
        <v>163.56393575395671</v>
      </c>
      <c r="F113" s="189">
        <f t="shared" si="2"/>
        <v>102.22745984622294</v>
      </c>
    </row>
    <row r="114" spans="1:10" ht="27" customHeight="1" thickBot="1" x14ac:dyDescent="0.45">
      <c r="A114" s="77" t="s">
        <v>100</v>
      </c>
      <c r="B114" s="78">
        <v>1</v>
      </c>
      <c r="C114" s="190"/>
      <c r="D114" s="107"/>
      <c r="E114" s="49"/>
      <c r="F114" s="186"/>
    </row>
    <row r="115" spans="1:10" ht="26.25" customHeight="1" x14ac:dyDescent="0.4">
      <c r="A115" s="77" t="s">
        <v>101</v>
      </c>
      <c r="B115" s="78">
        <v>1</v>
      </c>
      <c r="C115" s="190"/>
      <c r="D115" s="191" t="s">
        <v>70</v>
      </c>
      <c r="E115" s="192">
        <f>AVERAGE(E108:E113)</f>
        <v>163.90069835593923</v>
      </c>
      <c r="F115" s="193">
        <f>AVERAGE(F108:F113)</f>
        <v>102.43793647246206</v>
      </c>
    </row>
    <row r="116" spans="1:10" ht="27" customHeight="1" thickBot="1" x14ac:dyDescent="0.45">
      <c r="A116" s="77" t="s">
        <v>102</v>
      </c>
      <c r="B116" s="89">
        <f>(B115/B114)*(B113/B112)*(B111/B110)*(B109/B108)*B107</f>
        <v>4500</v>
      </c>
      <c r="C116" s="194"/>
      <c r="D116" s="195" t="s">
        <v>83</v>
      </c>
      <c r="E116" s="150">
        <f>STDEV(E108:E113)/E115</f>
        <v>2.8224665718213069E-3</v>
      </c>
      <c r="F116" s="196">
        <f>STDEV(F108:F113)/F115</f>
        <v>2.8224665718213039E-3</v>
      </c>
      <c r="I116" s="49"/>
    </row>
    <row r="117" spans="1:10" ht="27" customHeight="1" thickBot="1" x14ac:dyDescent="0.45">
      <c r="A117" s="481" t="s">
        <v>77</v>
      </c>
      <c r="B117" s="482"/>
      <c r="C117" s="197"/>
      <c r="D117" s="151" t="s">
        <v>20</v>
      </c>
      <c r="E117" s="198">
        <f>COUNT(E108:E113)</f>
        <v>6</v>
      </c>
      <c r="F117" s="199">
        <f>COUNT(F108:F113)</f>
        <v>6</v>
      </c>
      <c r="I117" s="49"/>
      <c r="J117" s="177"/>
    </row>
    <row r="118" spans="1:10" ht="26.25" customHeight="1" thickBot="1" x14ac:dyDescent="0.35">
      <c r="A118" s="483"/>
      <c r="B118" s="484"/>
      <c r="C118" s="49"/>
      <c r="D118" s="200"/>
      <c r="E118" s="500" t="s">
        <v>122</v>
      </c>
      <c r="F118" s="501"/>
      <c r="G118" s="49"/>
      <c r="H118" s="49"/>
      <c r="I118" s="49"/>
    </row>
    <row r="119" spans="1:10" ht="25.5" customHeight="1" x14ac:dyDescent="0.4">
      <c r="A119" s="201"/>
      <c r="B119" s="73"/>
      <c r="C119" s="49"/>
      <c r="D119" s="195" t="s">
        <v>123</v>
      </c>
      <c r="E119" s="202">
        <f>MIN(E108:E113)</f>
        <v>163.42426033402805</v>
      </c>
      <c r="F119" s="203">
        <f>MIN(F108:F113)</f>
        <v>102.14016270876753</v>
      </c>
      <c r="G119" s="49"/>
      <c r="H119" s="49"/>
      <c r="I119" s="49"/>
    </row>
    <row r="120" spans="1:10" ht="24" customHeight="1" thickBot="1" x14ac:dyDescent="0.45">
      <c r="A120" s="201"/>
      <c r="B120" s="73"/>
      <c r="C120" s="49"/>
      <c r="D120" s="118" t="s">
        <v>124</v>
      </c>
      <c r="E120" s="204">
        <f>MAX(E108:E113)</f>
        <v>164.50706519494287</v>
      </c>
      <c r="F120" s="205">
        <f>MAX(F108:F113)</f>
        <v>102.81691574683929</v>
      </c>
      <c r="G120" s="49"/>
      <c r="H120" s="49"/>
      <c r="I120" s="49"/>
    </row>
    <row r="121" spans="1:10" ht="27" customHeight="1" x14ac:dyDescent="0.3">
      <c r="A121" s="201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1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1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105</v>
      </c>
      <c r="B124" s="61" t="s">
        <v>125</v>
      </c>
      <c r="C124" s="476" t="str">
        <f>B26</f>
        <v>Trimethoprim</v>
      </c>
      <c r="D124" s="476"/>
      <c r="E124" s="49" t="s">
        <v>126</v>
      </c>
      <c r="F124" s="49"/>
      <c r="G124" s="206">
        <f>F115</f>
        <v>102.43793647246206</v>
      </c>
      <c r="H124" s="49"/>
      <c r="I124" s="49"/>
    </row>
    <row r="125" spans="1:10" ht="45.75" customHeight="1" x14ac:dyDescent="0.65">
      <c r="A125" s="60"/>
      <c r="B125" s="61" t="s">
        <v>127</v>
      </c>
      <c r="C125" s="61" t="s">
        <v>128</v>
      </c>
      <c r="D125" s="206">
        <f>MIN(F108:F113)</f>
        <v>102.14016270876753</v>
      </c>
      <c r="E125" s="61" t="s">
        <v>129</v>
      </c>
      <c r="F125" s="206">
        <f>MAX(F108:F113)</f>
        <v>102.81691574683929</v>
      </c>
      <c r="G125" s="153"/>
      <c r="H125" s="49"/>
      <c r="I125" s="49"/>
    </row>
    <row r="126" spans="1:10" ht="19.5" customHeight="1" thickBot="1" x14ac:dyDescent="0.35">
      <c r="A126" s="207"/>
      <c r="B126" s="207"/>
      <c r="C126" s="208"/>
      <c r="D126" s="208"/>
      <c r="E126" s="208"/>
      <c r="F126" s="208"/>
      <c r="G126" s="208"/>
      <c r="H126" s="208"/>
    </row>
    <row r="127" spans="1:10" ht="18.75" x14ac:dyDescent="0.3">
      <c r="B127" s="496" t="s">
        <v>25</v>
      </c>
      <c r="C127" s="496"/>
      <c r="E127" s="156" t="s">
        <v>26</v>
      </c>
      <c r="F127" s="209"/>
      <c r="G127" s="496" t="s">
        <v>27</v>
      </c>
      <c r="H127" s="496"/>
    </row>
    <row r="128" spans="1:10" ht="69.95" customHeight="1" x14ac:dyDescent="0.3">
      <c r="A128" s="60" t="s">
        <v>28</v>
      </c>
      <c r="B128" s="210"/>
      <c r="C128" s="210"/>
      <c r="E128" s="210"/>
      <c r="F128" s="49"/>
      <c r="G128" s="210"/>
      <c r="H128" s="210"/>
    </row>
    <row r="129" spans="1:9" ht="69.95" customHeight="1" x14ac:dyDescent="0.3">
      <c r="A129" s="60" t="s">
        <v>29</v>
      </c>
      <c r="B129" s="211"/>
      <c r="C129" s="211"/>
      <c r="E129" s="211"/>
      <c r="F129" s="49"/>
      <c r="G129" s="212"/>
      <c r="H129" s="212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5" t="s">
        <v>30</v>
      </c>
      <c r="B11" s="506"/>
      <c r="C11" s="506"/>
      <c r="D11" s="506"/>
      <c r="E11" s="506"/>
      <c r="F11" s="507"/>
      <c r="G11" s="41"/>
    </row>
    <row r="12" spans="1:7" ht="16.5" customHeight="1" x14ac:dyDescent="0.3">
      <c r="A12" s="504" t="s">
        <v>31</v>
      </c>
      <c r="B12" s="504"/>
      <c r="C12" s="504"/>
      <c r="D12" s="504"/>
      <c r="E12" s="504"/>
      <c r="F12" s="504"/>
      <c r="G12" s="40"/>
    </row>
    <row r="14" spans="1:7" ht="16.5" customHeight="1" x14ac:dyDescent="0.3">
      <c r="A14" s="509" t="s">
        <v>32</v>
      </c>
      <c r="B14" s="509"/>
      <c r="C14" s="10" t="s">
        <v>5</v>
      </c>
    </row>
    <row r="15" spans="1:7" ht="16.5" customHeight="1" x14ac:dyDescent="0.3">
      <c r="A15" s="509" t="s">
        <v>33</v>
      </c>
      <c r="B15" s="509"/>
      <c r="C15" s="10" t="s">
        <v>7</v>
      </c>
    </row>
    <row r="16" spans="1:7" ht="16.5" customHeight="1" x14ac:dyDescent="0.3">
      <c r="A16" s="509" t="s">
        <v>34</v>
      </c>
      <c r="B16" s="509"/>
      <c r="C16" s="10" t="s">
        <v>9</v>
      </c>
    </row>
    <row r="17" spans="1:5" ht="16.5" customHeight="1" x14ac:dyDescent="0.3">
      <c r="A17" s="509" t="s">
        <v>35</v>
      </c>
      <c r="B17" s="509"/>
      <c r="C17" s="10" t="s">
        <v>11</v>
      </c>
    </row>
    <row r="18" spans="1:5" ht="16.5" customHeight="1" x14ac:dyDescent="0.3">
      <c r="A18" s="509" t="s">
        <v>36</v>
      </c>
      <c r="B18" s="509"/>
      <c r="C18" s="47" t="s">
        <v>12</v>
      </c>
    </row>
    <row r="19" spans="1:5" ht="16.5" customHeight="1" x14ac:dyDescent="0.3">
      <c r="A19" s="509" t="s">
        <v>37</v>
      </c>
      <c r="B19" s="50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4" t="s">
        <v>1</v>
      </c>
      <c r="B21" s="504"/>
      <c r="C21" s="9" t="s">
        <v>38</v>
      </c>
      <c r="D21" s="16"/>
    </row>
    <row r="22" spans="1:5" ht="15.75" customHeight="1" x14ac:dyDescent="0.3">
      <c r="A22" s="508"/>
      <c r="B22" s="508"/>
      <c r="C22" s="7"/>
      <c r="D22" s="508"/>
      <c r="E22" s="508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1040.42</v>
      </c>
      <c r="D24" s="37">
        <f t="shared" ref="D24:D43" si="0">(C24-$C$46)/$C$46</f>
        <v>-5.8606655082612969E-3</v>
      </c>
      <c r="E24" s="3"/>
    </row>
    <row r="25" spans="1:5" ht="15.75" customHeight="1" x14ac:dyDescent="0.3">
      <c r="C25" s="45">
        <v>1049.5</v>
      </c>
      <c r="D25" s="38">
        <f t="shared" si="0"/>
        <v>2.8154317958898295E-3</v>
      </c>
      <c r="E25" s="3"/>
    </row>
    <row r="26" spans="1:5" ht="15.75" customHeight="1" x14ac:dyDescent="0.3">
      <c r="C26" s="45">
        <v>1046.9100000000001</v>
      </c>
      <c r="D26" s="38">
        <f t="shared" si="0"/>
        <v>3.406419260934763E-4</v>
      </c>
      <c r="E26" s="3"/>
    </row>
    <row r="27" spans="1:5" ht="15.75" customHeight="1" x14ac:dyDescent="0.3">
      <c r="C27" s="45">
        <v>1045.8699999999999</v>
      </c>
      <c r="D27" s="38">
        <f t="shared" si="0"/>
        <v>-6.5309609112226157E-4</v>
      </c>
      <c r="E27" s="3"/>
    </row>
    <row r="28" spans="1:5" ht="15.75" customHeight="1" x14ac:dyDescent="0.3">
      <c r="C28" s="45">
        <v>1044.72</v>
      </c>
      <c r="D28" s="38">
        <f t="shared" si="0"/>
        <v>-1.7519410140047166E-3</v>
      </c>
      <c r="E28" s="3"/>
    </row>
    <row r="29" spans="1:5" ht="15.75" customHeight="1" x14ac:dyDescent="0.3">
      <c r="C29" s="45">
        <v>1046.8499999999999</v>
      </c>
      <c r="D29" s="38">
        <f t="shared" si="0"/>
        <v>2.8331088663856763E-4</v>
      </c>
      <c r="E29" s="3"/>
    </row>
    <row r="30" spans="1:5" ht="15.75" customHeight="1" x14ac:dyDescent="0.3">
      <c r="C30" s="45">
        <v>1055.72</v>
      </c>
      <c r="D30" s="38">
        <f t="shared" si="0"/>
        <v>8.758749552698274E-3</v>
      </c>
      <c r="E30" s="3"/>
    </row>
    <row r="31" spans="1:5" ht="15.75" customHeight="1" x14ac:dyDescent="0.3">
      <c r="C31" s="45">
        <v>1052.1600000000001</v>
      </c>
      <c r="D31" s="38">
        <f t="shared" si="0"/>
        <v>5.3571078783835394E-3</v>
      </c>
      <c r="E31" s="3"/>
    </row>
    <row r="32" spans="1:5" ht="15.75" customHeight="1" x14ac:dyDescent="0.3">
      <c r="C32" s="45">
        <v>1039.8399999999999</v>
      </c>
      <c r="D32" s="38">
        <f t="shared" si="0"/>
        <v>-6.4148655563239657E-3</v>
      </c>
      <c r="E32" s="3"/>
    </row>
    <row r="33" spans="1:7" ht="15.75" customHeight="1" x14ac:dyDescent="0.3">
      <c r="C33" s="45">
        <v>1050.17</v>
      </c>
      <c r="D33" s="38">
        <f t="shared" si="0"/>
        <v>3.4556284031345354E-3</v>
      </c>
      <c r="E33" s="3"/>
    </row>
    <row r="34" spans="1:7" ht="15.75" customHeight="1" x14ac:dyDescent="0.3">
      <c r="C34" s="45">
        <v>1039.68</v>
      </c>
      <c r="D34" s="38">
        <f t="shared" si="0"/>
        <v>-6.5677483282031426E-3</v>
      </c>
      <c r="E34" s="3"/>
    </row>
    <row r="35" spans="1:7" ht="15.75" customHeight="1" x14ac:dyDescent="0.3">
      <c r="C35" s="45">
        <v>1052.56</v>
      </c>
      <c r="D35" s="38">
        <f t="shared" si="0"/>
        <v>5.7393148080817002E-3</v>
      </c>
      <c r="E35" s="3"/>
    </row>
    <row r="36" spans="1:7" ht="15.75" customHeight="1" x14ac:dyDescent="0.3">
      <c r="C36" s="45">
        <v>1042.76</v>
      </c>
      <c r="D36" s="38">
        <f t="shared" si="0"/>
        <v>-3.624754969526375E-3</v>
      </c>
      <c r="E36" s="3"/>
    </row>
    <row r="37" spans="1:7" ht="15.75" customHeight="1" x14ac:dyDescent="0.3">
      <c r="C37" s="45">
        <v>1051.24</v>
      </c>
      <c r="D37" s="38">
        <f t="shared" si="0"/>
        <v>4.4780319400774017E-3</v>
      </c>
      <c r="E37" s="3"/>
    </row>
    <row r="38" spans="1:7" ht="15.75" customHeight="1" x14ac:dyDescent="0.3">
      <c r="C38" s="45">
        <v>1051.1500000000001</v>
      </c>
      <c r="D38" s="38">
        <f t="shared" si="0"/>
        <v>4.3920353808953646E-3</v>
      </c>
      <c r="E38" s="3"/>
    </row>
    <row r="39" spans="1:7" ht="15.75" customHeight="1" x14ac:dyDescent="0.3">
      <c r="C39" s="45">
        <v>1044.31</v>
      </c>
      <c r="D39" s="38">
        <f t="shared" si="0"/>
        <v>-2.1437031169455425E-3</v>
      </c>
      <c r="E39" s="3"/>
    </row>
    <row r="40" spans="1:7" ht="15.75" customHeight="1" x14ac:dyDescent="0.3">
      <c r="C40" s="45">
        <v>1042.56</v>
      </c>
      <c r="D40" s="38">
        <f t="shared" si="0"/>
        <v>-3.8158584343755638E-3</v>
      </c>
      <c r="E40" s="3"/>
    </row>
    <row r="41" spans="1:7" ht="15.75" customHeight="1" x14ac:dyDescent="0.3">
      <c r="C41" s="45">
        <v>1038.24</v>
      </c>
      <c r="D41" s="38">
        <f t="shared" si="0"/>
        <v>-7.9436932751170402E-3</v>
      </c>
      <c r="E41" s="3"/>
    </row>
    <row r="42" spans="1:7" ht="15.75" customHeight="1" x14ac:dyDescent="0.3">
      <c r="C42" s="45">
        <v>1045.6400000000001</v>
      </c>
      <c r="D42" s="38">
        <f t="shared" si="0"/>
        <v>-8.7286507569857882E-4</v>
      </c>
      <c r="E42" s="3"/>
    </row>
    <row r="43" spans="1:7" ht="16.5" customHeight="1" x14ac:dyDescent="0.3">
      <c r="C43" s="46">
        <v>1050.77</v>
      </c>
      <c r="D43" s="39">
        <f t="shared" si="0"/>
        <v>4.0289387976818842E-3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20931.070000000003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1046.5535000000002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502">
        <f>C46</f>
        <v>1046.5535000000002</v>
      </c>
      <c r="C49" s="43">
        <f>-IF(C46&lt;=80,10%,IF(C46&lt;250,7.5%,5%))</f>
        <v>-0.05</v>
      </c>
      <c r="D49" s="31">
        <f>IF(C46&lt;=80,C46*0.9,IF(C46&lt;250,C46*0.925,C46*0.95))</f>
        <v>994.2258250000001</v>
      </c>
    </row>
    <row r="50" spans="1:6" ht="17.25" customHeight="1" x14ac:dyDescent="0.3">
      <c r="B50" s="503"/>
      <c r="C50" s="44">
        <f>IF(C46&lt;=80, 10%, IF(C46&lt;250, 7.5%, 5%))</f>
        <v>0.05</v>
      </c>
      <c r="D50" s="31">
        <f>IF(C46&lt;=80, C46*1.1, IF(C46&lt;250, C46*1.075, C46*1.05))</f>
        <v>1098.8811750000002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tri</vt:lpstr>
      <vt:lpstr>sst sulf</vt:lpstr>
      <vt:lpstr>sulfamethoxazole</vt:lpstr>
      <vt:lpstr>TRIMETHROPRIM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2017-05-25T09:41:58Z</cp:lastPrinted>
  <dcterms:created xsi:type="dcterms:W3CDTF">2005-07-05T10:19:27Z</dcterms:created>
  <dcterms:modified xsi:type="dcterms:W3CDTF">2017-05-25T09:44:33Z</dcterms:modified>
</cp:coreProperties>
</file>