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/>
  </bookViews>
  <sheets>
    <sheet name="TRIMETHROPRIM" sheetId="8" r:id="rId1"/>
    <sheet name="sulfamethoxazole" sheetId="7" r:id="rId2"/>
    <sheet name="sst sulf" sheetId="6" r:id="rId3"/>
    <sheet name="sst tri" sheetId="5" r:id="rId4"/>
    <sheet name="Uniformity" sheetId="2" r:id="rId5"/>
  </sheets>
  <definedNames>
    <definedName name="_xlnm.Print_Area" localSheetId="4">Uniformity!$A$1:$F$54</definedName>
  </definedNames>
  <calcPr calcId="145621"/>
</workbook>
</file>

<file path=xl/calcChain.xml><?xml version="1.0" encoding="utf-8"?>
<calcChain xmlns="http://schemas.openxmlformats.org/spreadsheetml/2006/main">
  <c r="B57" i="8" l="1"/>
  <c r="G66" i="8" s="1"/>
  <c r="H66" i="8" s="1"/>
  <c r="B57" i="7"/>
  <c r="C124" i="8"/>
  <c r="B116" i="8"/>
  <c r="D100" i="8"/>
  <c r="D101" i="8" s="1"/>
  <c r="B98" i="8"/>
  <c r="F97" i="8"/>
  <c r="F98" i="8" s="1"/>
  <c r="F99" i="8" s="1"/>
  <c r="F95" i="8"/>
  <c r="D95" i="8"/>
  <c r="G94" i="8"/>
  <c r="E94" i="8"/>
  <c r="I92" i="8"/>
  <c r="B87" i="8"/>
  <c r="D97" i="8" s="1"/>
  <c r="D98" i="8" s="1"/>
  <c r="D99" i="8" s="1"/>
  <c r="B83" i="8"/>
  <c r="B81" i="8"/>
  <c r="B80" i="8"/>
  <c r="B79" i="8"/>
  <c r="C76" i="8"/>
  <c r="H71" i="8"/>
  <c r="G71" i="8"/>
  <c r="B68" i="8"/>
  <c r="H67" i="8"/>
  <c r="G67" i="8"/>
  <c r="G65" i="8"/>
  <c r="H65" i="8" s="1"/>
  <c r="G64" i="8"/>
  <c r="H64" i="8" s="1"/>
  <c r="H63" i="8"/>
  <c r="G63" i="8"/>
  <c r="B69" i="8"/>
  <c r="C56" i="8"/>
  <c r="B55" i="8"/>
  <c r="B45" i="8"/>
  <c r="D48" i="8" s="1"/>
  <c r="F42" i="8"/>
  <c r="D42" i="8"/>
  <c r="I39" i="8" s="1"/>
  <c r="G41" i="8"/>
  <c r="E41" i="8"/>
  <c r="B34" i="8"/>
  <c r="F44" i="8" s="1"/>
  <c r="F45" i="8" s="1"/>
  <c r="F46" i="8" s="1"/>
  <c r="B30" i="8"/>
  <c r="C124" i="7"/>
  <c r="B116" i="7"/>
  <c r="D100" i="7"/>
  <c r="D101" i="7" s="1"/>
  <c r="B98" i="7"/>
  <c r="F95" i="7"/>
  <c r="I92" i="7" s="1"/>
  <c r="D95" i="7"/>
  <c r="G94" i="7"/>
  <c r="E94" i="7"/>
  <c r="B87" i="7"/>
  <c r="F97" i="7" s="1"/>
  <c r="F98" i="7" s="1"/>
  <c r="F99" i="7" s="1"/>
  <c r="B83" i="7"/>
  <c r="B81" i="7"/>
  <c r="B79" i="7"/>
  <c r="C76" i="7"/>
  <c r="H71" i="7"/>
  <c r="G71" i="7"/>
  <c r="B68" i="7"/>
  <c r="B69" i="7" s="1"/>
  <c r="H67" i="7"/>
  <c r="G67" i="7"/>
  <c r="H63" i="7"/>
  <c r="G63" i="7"/>
  <c r="C56" i="7"/>
  <c r="B55" i="7"/>
  <c r="D49" i="7"/>
  <c r="D48" i="7"/>
  <c r="G39" i="7" s="1"/>
  <c r="F45" i="7"/>
  <c r="F46" i="7" s="1"/>
  <c r="B45" i="7"/>
  <c r="F44" i="7"/>
  <c r="D44" i="7"/>
  <c r="D45" i="7" s="1"/>
  <c r="F42" i="7"/>
  <c r="D42" i="7"/>
  <c r="I39" i="7" s="1"/>
  <c r="G41" i="7"/>
  <c r="E41" i="7"/>
  <c r="G38" i="7"/>
  <c r="B34" i="7"/>
  <c r="B30" i="7"/>
  <c r="B53" i="6"/>
  <c r="E51" i="6"/>
  <c r="D51" i="6"/>
  <c r="C51" i="6"/>
  <c r="B51" i="6"/>
  <c r="B52" i="6" s="1"/>
  <c r="B42" i="6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D49" i="2"/>
  <c r="C49" i="2"/>
  <c r="C46" i="2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G39" i="8" l="1"/>
  <c r="G40" i="8"/>
  <c r="D49" i="8"/>
  <c r="E40" i="8"/>
  <c r="G38" i="8"/>
  <c r="G92" i="8"/>
  <c r="E92" i="8"/>
  <c r="D102" i="8"/>
  <c r="G93" i="8"/>
  <c r="E93" i="8"/>
  <c r="G91" i="8"/>
  <c r="G95" i="8" s="1"/>
  <c r="E91" i="8"/>
  <c r="D44" i="8"/>
  <c r="D45" i="8" s="1"/>
  <c r="D46" i="8" s="1"/>
  <c r="G92" i="7"/>
  <c r="D102" i="7"/>
  <c r="G93" i="7"/>
  <c r="G91" i="7"/>
  <c r="E91" i="7"/>
  <c r="E39" i="7"/>
  <c r="E40" i="7"/>
  <c r="E38" i="7"/>
  <c r="D46" i="7"/>
  <c r="G40" i="7"/>
  <c r="G42" i="7" s="1"/>
  <c r="D97" i="7"/>
  <c r="D98" i="7" s="1"/>
  <c r="D99" i="7" s="1"/>
  <c r="C50" i="2"/>
  <c r="D26" i="2"/>
  <c r="D30" i="2"/>
  <c r="D34" i="2"/>
  <c r="D38" i="2"/>
  <c r="D42" i="2"/>
  <c r="B49" i="2"/>
  <c r="D50" i="2"/>
  <c r="E38" i="8" l="1"/>
  <c r="E39" i="8"/>
  <c r="D103" i="8"/>
  <c r="E95" i="8"/>
  <c r="D105" i="8"/>
  <c r="G42" i="8"/>
  <c r="D50" i="7"/>
  <c r="D52" i="7"/>
  <c r="E42" i="7"/>
  <c r="D105" i="7"/>
  <c r="G95" i="7"/>
  <c r="E93" i="7"/>
  <c r="E92" i="7"/>
  <c r="D103" i="7" s="1"/>
  <c r="D50" i="8" l="1"/>
  <c r="E42" i="8"/>
  <c r="D52" i="8"/>
  <c r="E113" i="8"/>
  <c r="F113" i="8" s="1"/>
  <c r="E109" i="8"/>
  <c r="F109" i="8" s="1"/>
  <c r="D104" i="8"/>
  <c r="E108" i="8"/>
  <c r="E112" i="8"/>
  <c r="F112" i="8" s="1"/>
  <c r="E110" i="8"/>
  <c r="F110" i="8" s="1"/>
  <c r="E111" i="8"/>
  <c r="F111" i="8" s="1"/>
  <c r="E113" i="7"/>
  <c r="F113" i="7" s="1"/>
  <c r="E112" i="7"/>
  <c r="F112" i="7" s="1"/>
  <c r="E110" i="7"/>
  <c r="F110" i="7" s="1"/>
  <c r="E108" i="7"/>
  <c r="E111" i="7"/>
  <c r="F111" i="7" s="1"/>
  <c r="E109" i="7"/>
  <c r="F109" i="7" s="1"/>
  <c r="D104" i="7"/>
  <c r="E95" i="7"/>
  <c r="G65" i="7"/>
  <c r="H65" i="7" s="1"/>
  <c r="G61" i="7"/>
  <c r="H61" i="7" s="1"/>
  <c r="G68" i="7"/>
  <c r="H68" i="7" s="1"/>
  <c r="G69" i="7"/>
  <c r="H69" i="7" s="1"/>
  <c r="G66" i="7"/>
  <c r="H66" i="7" s="1"/>
  <c r="G64" i="7"/>
  <c r="H64" i="7" s="1"/>
  <c r="G62" i="7"/>
  <c r="H62" i="7" s="1"/>
  <c r="G60" i="7"/>
  <c r="D51" i="7"/>
  <c r="G70" i="7"/>
  <c r="H70" i="7" s="1"/>
  <c r="E120" i="8" l="1"/>
  <c r="E117" i="8"/>
  <c r="F108" i="8"/>
  <c r="E115" i="8"/>
  <c r="E116" i="8" s="1"/>
  <c r="E119" i="8"/>
  <c r="D51" i="8"/>
  <c r="G70" i="8"/>
  <c r="H70" i="8" s="1"/>
  <c r="G61" i="8"/>
  <c r="H61" i="8" s="1"/>
  <c r="G68" i="8"/>
  <c r="H68" i="8" s="1"/>
  <c r="G69" i="8"/>
  <c r="H69" i="8" s="1"/>
  <c r="G62" i="8"/>
  <c r="H62" i="8" s="1"/>
  <c r="G60" i="8"/>
  <c r="H60" i="7"/>
  <c r="G74" i="7"/>
  <c r="G72" i="7"/>
  <c r="G73" i="7" s="1"/>
  <c r="E120" i="7"/>
  <c r="E117" i="7"/>
  <c r="F108" i="7"/>
  <c r="E115" i="7"/>
  <c r="E116" i="7" s="1"/>
  <c r="E119" i="7"/>
  <c r="G74" i="8" l="1"/>
  <c r="G72" i="8"/>
  <c r="G73" i="8" s="1"/>
  <c r="H60" i="8"/>
  <c r="F125" i="8"/>
  <c r="F120" i="8"/>
  <c r="F117" i="8"/>
  <c r="D125" i="8"/>
  <c r="F115" i="8"/>
  <c r="F119" i="8"/>
  <c r="F125" i="7"/>
  <c r="F117" i="7"/>
  <c r="D125" i="7"/>
  <c r="F115" i="7"/>
  <c r="F119" i="7"/>
  <c r="F120" i="7"/>
  <c r="H74" i="7"/>
  <c r="H72" i="7"/>
  <c r="G124" i="8" l="1"/>
  <c r="F116" i="8"/>
  <c r="H74" i="8"/>
  <c r="H72" i="8"/>
  <c r="G76" i="7"/>
  <c r="H73" i="7"/>
  <c r="G124" i="7"/>
  <c r="F116" i="7"/>
  <c r="G76" i="8" l="1"/>
  <c r="H73" i="8"/>
</calcChain>
</file>

<file path=xl/sharedStrings.xml><?xml version="1.0" encoding="utf-8"?>
<sst xmlns="http://schemas.openxmlformats.org/spreadsheetml/2006/main" count="455" uniqueCount="139">
  <si>
    <t>HPLC System Suitability Report</t>
  </si>
  <si>
    <t>Analysis Data</t>
  </si>
  <si>
    <t>Assay</t>
  </si>
  <si>
    <t>Sample(s)</t>
  </si>
  <si>
    <t>Reference Substance:</t>
  </si>
  <si>
    <t>SULFRAN DS TABLETS</t>
  </si>
  <si>
    <t>% age Purity:</t>
  </si>
  <si>
    <t>NDQB201705401</t>
  </si>
  <si>
    <t>Weight (mg):</t>
  </si>
  <si>
    <t>Sulphamethoxazole 800 mg, Trimethoprim 160 mg</t>
  </si>
  <si>
    <t>Standard Conc (mg/mL):</t>
  </si>
  <si>
    <t>Each tablet contain Sulphamethoxazole B.P 800 mg and Trimethoprim B.P 160 mg.</t>
  </si>
  <si>
    <t>2017-05-23 08:17:44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</si>
  <si>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</si>
  <si>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</si>
  <si>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</si>
  <si>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</si>
  <si>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</si>
  <si>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</si>
  <si>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</si>
  <si>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</si>
  <si>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</si>
  <si>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</si>
  <si>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</si>
  <si>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</si>
  <si>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</si>
  <si>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</si>
  <si>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</si>
  <si>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</si>
  <si>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</si>
  <si>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</si>
  <si>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</si>
  <si>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</si>
  <si>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</si>
  <si>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</si>
  <si>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</si>
  <si>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</si>
  <si>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</si>
  <si>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</si>
  <si>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</si>
  <si>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</si>
  <si>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</si>
  <si>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</si>
  <si>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</si>
  <si>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</si>
  <si>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</si>
  <si>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</si>
  <si>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</si>
  <si>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</si>
  <si>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</si>
  <si>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</si>
  <si>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</si>
  <si>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</si>
  <si>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</si>
  <si>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</si>
  <si>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</si>
  <si>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</si>
  <si>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</si>
  <si>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</si>
  <si>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</si>
  <si>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</si>
  <si>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</si>
  <si>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</si>
  <si>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</si>
  <si>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</si>
  <si>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</si>
  <si>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</si>
  <si>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</si>
  <si>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</si>
  <si>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</si>
  <si>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</si>
  <si>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</si>
  <si>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</si>
  <si>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</si>
  <si>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</si>
  <si>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</si>
  <si>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</si>
  <si>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</si>
  <si>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</si>
  <si>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</si>
  <si>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</si>
  <si>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</si>
  <si>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</si>
  <si>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</si>
  <si>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</si>
  <si>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</si>
  <si>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</si>
  <si>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</si>
  <si>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</si>
  <si>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</si>
  <si>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</si>
  <si>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</si>
  <si>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</si>
  <si>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</si>
  <si>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</si>
  <si>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</si>
  <si>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</si>
  <si>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</si>
  <si>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</si>
  <si>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</si>
  <si>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</si>
  <si>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</si>
  <si>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</si>
  <si>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</si>
  <si>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</si>
  <si>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</si>
  <si>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</si>
  <si>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</si>
  <si>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</si>
  <si>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</si>
  <si>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</si>
  <si>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</si>
  <si>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</si>
  <si>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</si>
  <si>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</si>
  <si>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</si>
  <si>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</si>
  <si>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</si>
  <si>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</si>
  <si>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</si>
  <si>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</si>
  <si>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</si>
  <si>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</si>
  <si>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</si>
  <si>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</si>
  <si>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</si>
  <si>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</si>
  <si>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</si>
  <si>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</si>
  <si>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</si>
  <si>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COTRIMOXAZOLE 960 TABLETS</t>
  </si>
  <si>
    <t>Trimethroprim</t>
  </si>
  <si>
    <t>2017-05-15 11:18:07</t>
  </si>
  <si>
    <t>Sulfamethoxazole</t>
  </si>
  <si>
    <t>NDQB201705391</t>
  </si>
  <si>
    <t>sulfamethoxazole</t>
  </si>
  <si>
    <t>S12-6</t>
  </si>
  <si>
    <t>Trimethoprim</t>
  </si>
  <si>
    <t>T17-4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</si>
</sst>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10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1" fillId="2" borderId="0" xfId="1" applyFont="1" applyFill="1"/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0" fillId="2" borderId="10" xfId="1" applyFont="1" applyFill="1" applyBorder="1" applyAlignment="1">
      <alignment horizontal="center" vertical="center"/>
    </xf>
    <xf numFmtId="0" fontId="12" fillId="2" borderId="0" xfId="1" applyFont="1" applyFill="1"/>
    <xf numFmtId="0" fontId="13" fillId="3" borderId="0" xfId="1" applyFont="1" applyFill="1" applyAlignment="1" applyProtection="1">
      <alignment horizontal="left" wrapText="1"/>
      <protection locked="0"/>
    </xf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4" fillId="3" borderId="0" xfId="1" applyFont="1" applyFill="1" applyAlignment="1" applyProtection="1">
      <alignment horizontal="left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2" fillId="2" borderId="9" xfId="1" applyFont="1" applyFill="1" applyBorder="1" applyAlignment="1">
      <alignment horizontal="center" vertical="center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43" xfId="1" applyFont="1" applyFill="1" applyBorder="1" applyAlignment="1">
      <alignment horizontal="center" vertic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0" fontId="19" fillId="2" borderId="10" xfId="1" applyFont="1" applyFill="1" applyBorder="1" applyAlignment="1">
      <alignment horizontal="left" vertical="center" wrapText="1"/>
    </xf>
    <xf numFmtId="166" fontId="11" fillId="6" borderId="27" xfId="1" applyNumberFormat="1" applyFont="1" applyFill="1" applyBorder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2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1" fillId="2" borderId="0" xfId="2" applyFont="1" applyFill="1" applyAlignment="1">
      <alignment horizontal="center" vertical="center"/>
    </xf>
    <xf numFmtId="0" fontId="2" fillId="2" borderId="0" xfId="2" applyFont="1" applyFill="1"/>
    <xf numFmtId="0" fontId="22" fillId="2" borderId="0" xfId="2" applyFont="1" applyFill="1" applyAlignment="1">
      <alignment horizontal="center" vertical="center"/>
    </xf>
    <xf numFmtId="0" fontId="11" fillId="2" borderId="0" xfId="2" applyFont="1" applyFill="1"/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0" fillId="2" borderId="10" xfId="2" applyFont="1" applyFill="1" applyBorder="1" applyAlignment="1">
      <alignment horizontal="center" vertical="center"/>
    </xf>
    <xf numFmtId="0" fontId="25" fillId="2" borderId="0" xfId="2" applyFill="1"/>
    <xf numFmtId="0" fontId="12" fillId="2" borderId="0" xfId="2" applyFont="1" applyFill="1"/>
    <xf numFmtId="0" fontId="13" fillId="3" borderId="0" xfId="2" applyFont="1" applyFill="1" applyAlignment="1" applyProtection="1">
      <alignment horizontal="left" wrapText="1"/>
      <protection locked="0"/>
    </xf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4" fillId="3" borderId="0" xfId="2" applyFont="1" applyFill="1" applyAlignment="1" applyProtection="1">
      <alignment horizontal="left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2" fillId="2" borderId="9" xfId="2" applyFont="1" applyFill="1" applyBorder="1" applyAlignment="1">
      <alignment horizontal="center" vertical="center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43" xfId="2" applyFont="1" applyFill="1" applyBorder="1" applyAlignment="1">
      <alignment horizontal="center" vertic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0" fontId="19" fillId="2" borderId="10" xfId="2" applyFont="1" applyFill="1" applyBorder="1" applyAlignment="1">
      <alignment horizontal="left" vertical="center" wrapText="1"/>
    </xf>
    <xf numFmtId="166" fontId="11" fillId="6" borderId="27" xfId="2" applyNumberFormat="1" applyFont="1" applyFill="1" applyBorder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2" fillId="2" borderId="1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25" zoomScale="42" zoomScaleNormal="40" zoomScalePageLayoutView="42" workbookViewId="0">
      <selection activeCell="A126" sqref="A126"/>
    </sheetView>
  </sheetViews>
  <sheetFormatPr defaultColWidth="9.140625" defaultRowHeight="13.5" x14ac:dyDescent="0.25"/>
  <cols>
    <col min="1" max="1" width="55.42578125" style="305" customWidth="1"/>
    <col min="2" max="2" width="33.7109375" style="305" customWidth="1"/>
    <col min="3" max="3" width="42.28515625" style="305" customWidth="1"/>
    <col min="4" max="4" width="30.5703125" style="305" customWidth="1"/>
    <col min="5" max="5" width="39.85546875" style="305" customWidth="1"/>
    <col min="6" max="6" width="30.7109375" style="305" customWidth="1"/>
    <col min="7" max="7" width="39.85546875" style="305" customWidth="1"/>
    <col min="8" max="8" width="30" style="305" customWidth="1"/>
    <col min="9" max="9" width="30.28515625" style="305" hidden="1" customWidth="1"/>
    <col min="10" max="10" width="30.42578125" style="305" customWidth="1"/>
    <col min="11" max="11" width="21.28515625" style="305" customWidth="1"/>
    <col min="12" max="12" width="9.140625" style="305"/>
    <col min="13" max="16384" width="9.140625" style="312"/>
  </cols>
  <sheetData>
    <row r="1" spans="1:9" ht="18.75" customHeight="1" x14ac:dyDescent="0.25">
      <c r="A1" s="304" t="s">
        <v>44</v>
      </c>
      <c r="B1" s="304"/>
      <c r="C1" s="304"/>
      <c r="D1" s="304"/>
      <c r="E1" s="304"/>
      <c r="F1" s="304"/>
      <c r="G1" s="304"/>
      <c r="H1" s="304"/>
      <c r="I1" s="304"/>
    </row>
    <row r="2" spans="1:9" ht="18.75" customHeight="1" x14ac:dyDescent="0.25">
      <c r="A2" s="304"/>
      <c r="B2" s="304"/>
      <c r="C2" s="304"/>
      <c r="D2" s="304"/>
      <c r="E2" s="304"/>
      <c r="F2" s="304"/>
      <c r="G2" s="304"/>
      <c r="H2" s="304"/>
      <c r="I2" s="304"/>
    </row>
    <row r="3" spans="1:9" ht="18.75" customHeight="1" x14ac:dyDescent="0.25">
      <c r="A3" s="304"/>
      <c r="B3" s="304"/>
      <c r="C3" s="304"/>
      <c r="D3" s="304"/>
      <c r="E3" s="304"/>
      <c r="F3" s="304"/>
      <c r="G3" s="304"/>
      <c r="H3" s="304"/>
      <c r="I3" s="304"/>
    </row>
    <row r="4" spans="1:9" ht="18.75" customHeight="1" x14ac:dyDescent="0.25">
      <c r="A4" s="304"/>
      <c r="B4" s="304"/>
      <c r="C4" s="304"/>
      <c r="D4" s="304"/>
      <c r="E4" s="304"/>
      <c r="F4" s="304"/>
      <c r="G4" s="304"/>
      <c r="H4" s="304"/>
      <c r="I4" s="304"/>
    </row>
    <row r="5" spans="1:9" ht="18.75" customHeight="1" x14ac:dyDescent="0.25">
      <c r="A5" s="304"/>
      <c r="B5" s="304"/>
      <c r="C5" s="304"/>
      <c r="D5" s="304"/>
      <c r="E5" s="304"/>
      <c r="F5" s="304"/>
      <c r="G5" s="304"/>
      <c r="H5" s="304"/>
      <c r="I5" s="304"/>
    </row>
    <row r="6" spans="1:9" ht="18.75" customHeight="1" x14ac:dyDescent="0.25">
      <c r="A6" s="304"/>
      <c r="B6" s="304"/>
      <c r="C6" s="304"/>
      <c r="D6" s="304"/>
      <c r="E6" s="304"/>
      <c r="F6" s="304"/>
      <c r="G6" s="304"/>
      <c r="H6" s="304"/>
      <c r="I6" s="304"/>
    </row>
    <row r="7" spans="1:9" ht="18.75" customHeight="1" x14ac:dyDescent="0.25">
      <c r="A7" s="304"/>
      <c r="B7" s="304"/>
      <c r="C7" s="304"/>
      <c r="D7" s="304"/>
      <c r="E7" s="304"/>
      <c r="F7" s="304"/>
      <c r="G7" s="304"/>
      <c r="H7" s="304"/>
      <c r="I7" s="304"/>
    </row>
    <row r="8" spans="1:9" x14ac:dyDescent="0.25">
      <c r="A8" s="306" t="s">
        <v>45</v>
      </c>
      <c r="B8" s="306"/>
      <c r="C8" s="306"/>
      <c r="D8" s="306"/>
      <c r="E8" s="306"/>
      <c r="F8" s="306"/>
      <c r="G8" s="306"/>
      <c r="H8" s="306"/>
      <c r="I8" s="306"/>
    </row>
    <row r="9" spans="1:9" x14ac:dyDescent="0.25">
      <c r="A9" s="306"/>
      <c r="B9" s="306"/>
      <c r="C9" s="306"/>
      <c r="D9" s="306"/>
      <c r="E9" s="306"/>
      <c r="F9" s="306"/>
      <c r="G9" s="306"/>
      <c r="H9" s="306"/>
      <c r="I9" s="306"/>
    </row>
    <row r="10" spans="1:9" x14ac:dyDescent="0.25">
      <c r="A10" s="306"/>
      <c r="B10" s="306"/>
      <c r="C10" s="306"/>
      <c r="D10" s="306"/>
      <c r="E10" s="306"/>
      <c r="F10" s="306"/>
      <c r="G10" s="306"/>
      <c r="H10" s="306"/>
      <c r="I10" s="306"/>
    </row>
    <row r="11" spans="1:9" x14ac:dyDescent="0.25">
      <c r="A11" s="306"/>
      <c r="B11" s="306"/>
      <c r="C11" s="306"/>
      <c r="D11" s="306"/>
      <c r="E11" s="306"/>
      <c r="F11" s="306"/>
      <c r="G11" s="306"/>
      <c r="H11" s="306"/>
      <c r="I11" s="306"/>
    </row>
    <row r="12" spans="1:9" x14ac:dyDescent="0.25">
      <c r="A12" s="306"/>
      <c r="B12" s="306"/>
      <c r="C12" s="306"/>
      <c r="D12" s="306"/>
      <c r="E12" s="306"/>
      <c r="F12" s="306"/>
      <c r="G12" s="306"/>
      <c r="H12" s="306"/>
      <c r="I12" s="306"/>
    </row>
    <row r="13" spans="1:9" x14ac:dyDescent="0.25">
      <c r="A13" s="306"/>
      <c r="B13" s="306"/>
      <c r="C13" s="306"/>
      <c r="D13" s="306"/>
      <c r="E13" s="306"/>
      <c r="F13" s="306"/>
      <c r="G13" s="306"/>
      <c r="H13" s="306"/>
      <c r="I13" s="306"/>
    </row>
    <row r="14" spans="1:9" x14ac:dyDescent="0.25">
      <c r="A14" s="306"/>
      <c r="B14" s="306"/>
      <c r="C14" s="306"/>
      <c r="D14" s="306"/>
      <c r="E14" s="306"/>
      <c r="F14" s="306"/>
      <c r="G14" s="306"/>
      <c r="H14" s="306"/>
      <c r="I14" s="306"/>
    </row>
    <row r="15" spans="1:9" ht="19.5" customHeight="1" thickBot="1" x14ac:dyDescent="0.35">
      <c r="A15" s="307"/>
    </row>
    <row r="16" spans="1:9" ht="19.5" customHeight="1" thickBot="1" x14ac:dyDescent="0.35">
      <c r="A16" s="308" t="s">
        <v>30</v>
      </c>
      <c r="B16" s="309"/>
      <c r="C16" s="309"/>
      <c r="D16" s="309"/>
      <c r="E16" s="309"/>
      <c r="F16" s="309"/>
      <c r="G16" s="309"/>
      <c r="H16" s="310"/>
    </row>
    <row r="17" spans="1:14" ht="20.25" customHeight="1" x14ac:dyDescent="0.25">
      <c r="A17" s="311" t="s">
        <v>46</v>
      </c>
      <c r="B17" s="311"/>
      <c r="C17" s="311"/>
      <c r="D17" s="311"/>
      <c r="E17" s="311"/>
      <c r="F17" s="311"/>
      <c r="G17" s="311"/>
      <c r="H17" s="311"/>
    </row>
    <row r="18" spans="1:14" ht="26.25" customHeight="1" x14ac:dyDescent="0.4">
      <c r="A18" s="313" t="s">
        <v>32</v>
      </c>
      <c r="B18" s="314" t="s">
        <v>130</v>
      </c>
      <c r="C18" s="314"/>
      <c r="D18" s="315"/>
      <c r="E18" s="316"/>
      <c r="F18" s="317"/>
      <c r="G18" s="317"/>
      <c r="H18" s="317"/>
    </row>
    <row r="19" spans="1:14" ht="26.25" customHeight="1" x14ac:dyDescent="0.4">
      <c r="A19" s="313" t="s">
        <v>33</v>
      </c>
      <c r="B19" s="318" t="s">
        <v>7</v>
      </c>
      <c r="C19" s="317">
        <v>1</v>
      </c>
      <c r="D19" s="317"/>
      <c r="E19" s="317"/>
      <c r="F19" s="317"/>
      <c r="G19" s="317"/>
      <c r="H19" s="317"/>
    </row>
    <row r="20" spans="1:14" ht="26.25" customHeight="1" x14ac:dyDescent="0.4">
      <c r="A20" s="313" t="s">
        <v>34</v>
      </c>
      <c r="B20" s="319" t="s">
        <v>9</v>
      </c>
      <c r="C20" s="319"/>
      <c r="D20" s="317"/>
      <c r="E20" s="317"/>
      <c r="F20" s="317"/>
      <c r="G20" s="317"/>
      <c r="H20" s="317"/>
    </row>
    <row r="21" spans="1:14" ht="26.25" customHeight="1" x14ac:dyDescent="0.4">
      <c r="A21" s="313" t="s">
        <v>35</v>
      </c>
      <c r="B21" s="319" t="s">
        <v>9</v>
      </c>
      <c r="C21" s="319"/>
      <c r="D21" s="319"/>
      <c r="E21" s="319"/>
      <c r="F21" s="319"/>
      <c r="G21" s="319"/>
      <c r="H21" s="319"/>
      <c r="I21" s="320"/>
    </row>
    <row r="22" spans="1:14" ht="26.25" customHeight="1" x14ac:dyDescent="0.4">
      <c r="A22" s="313" t="s">
        <v>36</v>
      </c>
      <c r="B22" s="321" t="s">
        <v>132</v>
      </c>
      <c r="C22" s="317"/>
      <c r="D22" s="317"/>
      <c r="E22" s="317"/>
      <c r="F22" s="317"/>
      <c r="G22" s="317"/>
      <c r="H22" s="317"/>
    </row>
    <row r="23" spans="1:14" ht="26.25" customHeight="1" x14ac:dyDescent="0.4">
      <c r="A23" s="313" t="s">
        <v>37</v>
      </c>
      <c r="B23" s="321"/>
      <c r="C23" s="317"/>
      <c r="D23" s="317"/>
      <c r="E23" s="317"/>
      <c r="F23" s="317"/>
      <c r="G23" s="317"/>
      <c r="H23" s="317"/>
    </row>
    <row r="24" spans="1:14" ht="18.75" x14ac:dyDescent="0.3">
      <c r="A24" s="313"/>
      <c r="B24" s="322"/>
    </row>
    <row r="25" spans="1:14" ht="18.75" x14ac:dyDescent="0.3">
      <c r="A25" s="323" t="s">
        <v>1</v>
      </c>
      <c r="B25" s="322"/>
    </row>
    <row r="26" spans="1:14" ht="26.25" customHeight="1" x14ac:dyDescent="0.4">
      <c r="A26" s="324" t="s">
        <v>4</v>
      </c>
      <c r="B26" s="314" t="s">
        <v>137</v>
      </c>
      <c r="C26" s="314"/>
    </row>
    <row r="27" spans="1:14" ht="26.25" customHeight="1" x14ac:dyDescent="0.4">
      <c r="A27" s="325" t="s">
        <v>47</v>
      </c>
      <c r="B27" s="326" t="s">
        <v>138</v>
      </c>
      <c r="C27" s="326"/>
    </row>
    <row r="28" spans="1:14" ht="27" customHeight="1" thickBot="1" x14ac:dyDescent="0.45">
      <c r="A28" s="325" t="s">
        <v>6</v>
      </c>
      <c r="B28" s="327">
        <v>99.3</v>
      </c>
    </row>
    <row r="29" spans="1:14" s="332" customFormat="1" ht="27" customHeight="1" thickBot="1" x14ac:dyDescent="0.45">
      <c r="A29" s="325" t="s">
        <v>48</v>
      </c>
      <c r="B29" s="328">
        <v>0</v>
      </c>
      <c r="C29" s="329" t="s">
        <v>49</v>
      </c>
      <c r="D29" s="330"/>
      <c r="E29" s="330"/>
      <c r="F29" s="330"/>
      <c r="G29" s="331"/>
      <c r="I29" s="333"/>
      <c r="J29" s="333"/>
      <c r="K29" s="333"/>
      <c r="L29" s="333"/>
    </row>
    <row r="30" spans="1:14" s="332" customFormat="1" ht="19.5" customHeight="1" thickBot="1" x14ac:dyDescent="0.35">
      <c r="A30" s="325" t="s">
        <v>50</v>
      </c>
      <c r="B30" s="334">
        <f>B28-B29</f>
        <v>99.3</v>
      </c>
      <c r="C30" s="335"/>
      <c r="D30" s="335"/>
      <c r="E30" s="335"/>
      <c r="F30" s="335"/>
      <c r="G30" s="336"/>
      <c r="I30" s="333"/>
      <c r="J30" s="333"/>
      <c r="K30" s="333"/>
      <c r="L30" s="333"/>
    </row>
    <row r="31" spans="1:14" s="332" customFormat="1" ht="27" customHeight="1" thickBot="1" x14ac:dyDescent="0.45">
      <c r="A31" s="325" t="s">
        <v>51</v>
      </c>
      <c r="B31" s="337">
        <v>1</v>
      </c>
      <c r="C31" s="338" t="s">
        <v>52</v>
      </c>
      <c r="D31" s="339"/>
      <c r="E31" s="339"/>
      <c r="F31" s="339"/>
      <c r="G31" s="339"/>
      <c r="H31" s="340"/>
      <c r="I31" s="333"/>
      <c r="J31" s="333"/>
      <c r="K31" s="333"/>
      <c r="L31" s="333"/>
    </row>
    <row r="32" spans="1:14" s="332" customFormat="1" ht="27" customHeight="1" thickBot="1" x14ac:dyDescent="0.45">
      <c r="A32" s="325" t="s">
        <v>53</v>
      </c>
      <c r="B32" s="337">
        <v>1</v>
      </c>
      <c r="C32" s="338" t="s">
        <v>54</v>
      </c>
      <c r="D32" s="339"/>
      <c r="E32" s="339"/>
      <c r="F32" s="339"/>
      <c r="G32" s="339"/>
      <c r="H32" s="340"/>
      <c r="I32" s="333"/>
      <c r="J32" s="333"/>
      <c r="K32" s="333"/>
      <c r="L32" s="341"/>
      <c r="M32" s="341"/>
      <c r="N32" s="342"/>
    </row>
    <row r="33" spans="1:14" s="332" customFormat="1" ht="17.25" customHeight="1" x14ac:dyDescent="0.3">
      <c r="A33" s="325"/>
      <c r="B33" s="343"/>
      <c r="C33" s="344"/>
      <c r="D33" s="344"/>
      <c r="E33" s="344"/>
      <c r="F33" s="344"/>
      <c r="G33" s="344"/>
      <c r="H33" s="344"/>
      <c r="I33" s="333"/>
      <c r="J33" s="333"/>
      <c r="K33" s="333"/>
      <c r="L33" s="341"/>
      <c r="M33" s="341"/>
      <c r="N33" s="342"/>
    </row>
    <row r="34" spans="1:14" s="332" customFormat="1" ht="18.75" x14ac:dyDescent="0.3">
      <c r="A34" s="325" t="s">
        <v>55</v>
      </c>
      <c r="B34" s="345">
        <f>B31/B32</f>
        <v>1</v>
      </c>
      <c r="C34" s="307" t="s">
        <v>56</v>
      </c>
      <c r="D34" s="307"/>
      <c r="E34" s="307"/>
      <c r="F34" s="307"/>
      <c r="G34" s="307"/>
      <c r="I34" s="333"/>
      <c r="J34" s="333"/>
      <c r="K34" s="333"/>
      <c r="L34" s="341"/>
      <c r="M34" s="341"/>
      <c r="N34" s="342"/>
    </row>
    <row r="35" spans="1:14" s="332" customFormat="1" ht="19.5" customHeight="1" thickBot="1" x14ac:dyDescent="0.35">
      <c r="A35" s="325"/>
      <c r="B35" s="334"/>
      <c r="G35" s="307"/>
      <c r="I35" s="333"/>
      <c r="J35" s="333"/>
      <c r="K35" s="333"/>
      <c r="L35" s="341"/>
      <c r="M35" s="341"/>
      <c r="N35" s="342"/>
    </row>
    <row r="36" spans="1:14" s="332" customFormat="1" ht="27" customHeight="1" thickBot="1" x14ac:dyDescent="0.45">
      <c r="A36" s="346" t="s">
        <v>57</v>
      </c>
      <c r="B36" s="347">
        <v>25</v>
      </c>
      <c r="C36" s="307"/>
      <c r="D36" s="348" t="s">
        <v>58</v>
      </c>
      <c r="E36" s="349"/>
      <c r="F36" s="348" t="s">
        <v>59</v>
      </c>
      <c r="G36" s="350"/>
      <c r="J36" s="333"/>
      <c r="K36" s="333"/>
      <c r="L36" s="341"/>
      <c r="M36" s="341"/>
      <c r="N36" s="342"/>
    </row>
    <row r="37" spans="1:14" s="332" customFormat="1" ht="27" customHeight="1" thickBot="1" x14ac:dyDescent="0.45">
      <c r="A37" s="351" t="s">
        <v>60</v>
      </c>
      <c r="B37" s="352">
        <v>4</v>
      </c>
      <c r="C37" s="353" t="s">
        <v>61</v>
      </c>
      <c r="D37" s="354" t="s">
        <v>62</v>
      </c>
      <c r="E37" s="355" t="s">
        <v>63</v>
      </c>
      <c r="F37" s="354" t="s">
        <v>62</v>
      </c>
      <c r="G37" s="356" t="s">
        <v>63</v>
      </c>
      <c r="I37" s="357" t="s">
        <v>64</v>
      </c>
      <c r="J37" s="333"/>
      <c r="K37" s="333"/>
      <c r="L37" s="341"/>
      <c r="M37" s="341"/>
      <c r="N37" s="342"/>
    </row>
    <row r="38" spans="1:14" s="332" customFormat="1" ht="26.25" customHeight="1" x14ac:dyDescent="0.4">
      <c r="A38" s="351" t="s">
        <v>65</v>
      </c>
      <c r="B38" s="352">
        <v>100</v>
      </c>
      <c r="C38" s="358">
        <v>1</v>
      </c>
      <c r="D38" s="359">
        <v>2663001</v>
      </c>
      <c r="E38" s="360">
        <f>IF(ISBLANK(D38),"-",$D$48/$D$45*D38)</f>
        <v>2436868.1634686785</v>
      </c>
      <c r="F38" s="359">
        <v>2361570</v>
      </c>
      <c r="G38" s="361">
        <f>IF(ISBLANK(F38),"-",$D$48/$F$45*F38)</f>
        <v>2504705.1318152822</v>
      </c>
      <c r="I38" s="362"/>
      <c r="J38" s="333"/>
      <c r="K38" s="333"/>
      <c r="L38" s="341"/>
      <c r="M38" s="341"/>
      <c r="N38" s="342"/>
    </row>
    <row r="39" spans="1:14" s="332" customFormat="1" ht="26.25" customHeight="1" x14ac:dyDescent="0.4">
      <c r="A39" s="351" t="s">
        <v>66</v>
      </c>
      <c r="B39" s="352">
        <v>1</v>
      </c>
      <c r="C39" s="363">
        <v>2</v>
      </c>
      <c r="D39" s="364">
        <v>2662338</v>
      </c>
      <c r="E39" s="365">
        <f>IF(ISBLANK(D39),"-",$D$48/$D$45*D39)</f>
        <v>2436261.4631360914</v>
      </c>
      <c r="F39" s="364">
        <v>2353619</v>
      </c>
      <c r="G39" s="366">
        <f>IF(ISBLANK(F39),"-",$D$48/$F$45*F39)</f>
        <v>2496272.2204457</v>
      </c>
      <c r="I39" s="367">
        <f>ABS((F43/D43*D42)-F42)/D42</f>
        <v>1.7458445714515505E-2</v>
      </c>
      <c r="J39" s="333"/>
      <c r="K39" s="333"/>
      <c r="L39" s="341"/>
      <c r="M39" s="341"/>
      <c r="N39" s="342"/>
    </row>
    <row r="40" spans="1:14" ht="26.25" customHeight="1" x14ac:dyDescent="0.4">
      <c r="A40" s="351" t="s">
        <v>67</v>
      </c>
      <c r="B40" s="352">
        <v>1</v>
      </c>
      <c r="C40" s="363">
        <v>3</v>
      </c>
      <c r="D40" s="364">
        <v>2698466</v>
      </c>
      <c r="E40" s="365">
        <f>IF(ISBLANK(D40),"-",$D$48/$D$45*D40)</f>
        <v>2469321.5983030689</v>
      </c>
      <c r="F40" s="364">
        <v>2347750</v>
      </c>
      <c r="G40" s="366">
        <f>IF(ISBLANK(F40),"-",$D$48/$F$45*F40)</f>
        <v>2490047.4994259449</v>
      </c>
      <c r="I40" s="367"/>
      <c r="L40" s="341"/>
      <c r="M40" s="341"/>
      <c r="N40" s="307"/>
    </row>
    <row r="41" spans="1:14" ht="27" customHeight="1" thickBot="1" x14ac:dyDescent="0.45">
      <c r="A41" s="351" t="s">
        <v>68</v>
      </c>
      <c r="B41" s="352">
        <v>1</v>
      </c>
      <c r="C41" s="368">
        <v>4</v>
      </c>
      <c r="D41" s="369"/>
      <c r="E41" s="370" t="str">
        <f>IF(ISBLANK(D41),"-",$D$48/$D$45*D41)</f>
        <v>-</v>
      </c>
      <c r="F41" s="369"/>
      <c r="G41" s="371" t="str">
        <f>IF(ISBLANK(F41),"-",$D$48/$F$45*F41)</f>
        <v>-</v>
      </c>
      <c r="I41" s="372"/>
      <c r="L41" s="341"/>
      <c r="M41" s="341"/>
      <c r="N41" s="307"/>
    </row>
    <row r="42" spans="1:14" ht="27" customHeight="1" thickBot="1" x14ac:dyDescent="0.45">
      <c r="A42" s="351" t="s">
        <v>69</v>
      </c>
      <c r="B42" s="352">
        <v>1</v>
      </c>
      <c r="C42" s="373" t="s">
        <v>70</v>
      </c>
      <c r="D42" s="374">
        <f>AVERAGE(D38:D41)</f>
        <v>2674601.6666666665</v>
      </c>
      <c r="E42" s="375">
        <f>AVERAGE(E38:E41)</f>
        <v>2447483.7416359461</v>
      </c>
      <c r="F42" s="374">
        <f>AVERAGE(F38:F41)</f>
        <v>2354313</v>
      </c>
      <c r="G42" s="376">
        <f>AVERAGE(G38:G41)</f>
        <v>2497008.2838956425</v>
      </c>
      <c r="H42" s="377"/>
    </row>
    <row r="43" spans="1:14" ht="26.25" customHeight="1" x14ac:dyDescent="0.4">
      <c r="A43" s="351" t="s">
        <v>71</v>
      </c>
      <c r="B43" s="352">
        <v>1</v>
      </c>
      <c r="C43" s="378" t="s">
        <v>72</v>
      </c>
      <c r="D43" s="379">
        <v>22.01</v>
      </c>
      <c r="E43" s="307"/>
      <c r="F43" s="379">
        <v>18.989999999999998</v>
      </c>
      <c r="H43" s="377"/>
    </row>
    <row r="44" spans="1:14" ht="26.25" customHeight="1" x14ac:dyDescent="0.4">
      <c r="A44" s="351" t="s">
        <v>73</v>
      </c>
      <c r="B44" s="352">
        <v>1</v>
      </c>
      <c r="C44" s="380" t="s">
        <v>74</v>
      </c>
      <c r="D44" s="381">
        <f>D43*$B$34</f>
        <v>22.01</v>
      </c>
      <c r="E44" s="382"/>
      <c r="F44" s="381">
        <f>F43*$B$34</f>
        <v>18.989999999999998</v>
      </c>
      <c r="H44" s="377"/>
    </row>
    <row r="45" spans="1:14" ht="19.5" customHeight="1" thickBot="1" x14ac:dyDescent="0.35">
      <c r="A45" s="351" t="s">
        <v>75</v>
      </c>
      <c r="B45" s="363">
        <f>(B44/B43)*(B42/B41)*(B40/B39)*(B38/B37)*B36</f>
        <v>625</v>
      </c>
      <c r="C45" s="380" t="s">
        <v>76</v>
      </c>
      <c r="D45" s="383">
        <f>D44*$B$30/100</f>
        <v>21.855930000000004</v>
      </c>
      <c r="E45" s="384"/>
      <c r="F45" s="383">
        <f>F44*$B$30/100</f>
        <v>18.85707</v>
      </c>
      <c r="H45" s="377"/>
    </row>
    <row r="46" spans="1:14" ht="19.5" customHeight="1" thickBot="1" x14ac:dyDescent="0.35">
      <c r="A46" s="385" t="s">
        <v>77</v>
      </c>
      <c r="B46" s="386"/>
      <c r="C46" s="380" t="s">
        <v>78</v>
      </c>
      <c r="D46" s="387">
        <f>D45/$B$45</f>
        <v>3.4969488000000007E-2</v>
      </c>
      <c r="E46" s="388"/>
      <c r="F46" s="389">
        <f>F45/$B$45</f>
        <v>3.0171311999999999E-2</v>
      </c>
      <c r="H46" s="377"/>
    </row>
    <row r="47" spans="1:14" ht="27" customHeight="1" thickBot="1" x14ac:dyDescent="0.45">
      <c r="A47" s="390"/>
      <c r="B47" s="391"/>
      <c r="C47" s="392" t="s">
        <v>79</v>
      </c>
      <c r="D47" s="393">
        <v>3.2000000000000001E-2</v>
      </c>
      <c r="E47" s="394"/>
      <c r="F47" s="388"/>
      <c r="H47" s="377"/>
    </row>
    <row r="48" spans="1:14" ht="18.75" x14ac:dyDescent="0.3">
      <c r="C48" s="395" t="s">
        <v>80</v>
      </c>
      <c r="D48" s="383">
        <f>D47*$B$45</f>
        <v>20</v>
      </c>
      <c r="F48" s="396"/>
      <c r="H48" s="377"/>
    </row>
    <row r="49" spans="1:12" ht="19.5" customHeight="1" thickBot="1" x14ac:dyDescent="0.35">
      <c r="C49" s="397" t="s">
        <v>81</v>
      </c>
      <c r="D49" s="398">
        <f>D48/B34</f>
        <v>20</v>
      </c>
      <c r="F49" s="396"/>
      <c r="H49" s="377"/>
    </row>
    <row r="50" spans="1:12" ht="18.75" x14ac:dyDescent="0.3">
      <c r="C50" s="346" t="s">
        <v>82</v>
      </c>
      <c r="D50" s="399">
        <f>AVERAGE(E38:E41,G38:G41)</f>
        <v>2472246.0127657945</v>
      </c>
      <c r="F50" s="400"/>
      <c r="H50" s="377"/>
    </row>
    <row r="51" spans="1:12" ht="18.75" x14ac:dyDescent="0.3">
      <c r="C51" s="351" t="s">
        <v>83</v>
      </c>
      <c r="D51" s="401">
        <f>STDEV(E38:E41,G38:G41)/D50</f>
        <v>1.2138459994121116E-2</v>
      </c>
      <c r="F51" s="400"/>
      <c r="H51" s="377"/>
    </row>
    <row r="52" spans="1:12" ht="19.5" customHeight="1" thickBot="1" x14ac:dyDescent="0.35">
      <c r="C52" s="402" t="s">
        <v>20</v>
      </c>
      <c r="D52" s="403">
        <f>COUNT(E38:E41,G38:G41)</f>
        <v>6</v>
      </c>
      <c r="F52" s="400"/>
    </row>
    <row r="54" spans="1:12" ht="18.75" x14ac:dyDescent="0.3">
      <c r="A54" s="404" t="s">
        <v>1</v>
      </c>
      <c r="B54" s="405" t="s">
        <v>84</v>
      </c>
    </row>
    <row r="55" spans="1:12" ht="18.75" x14ac:dyDescent="0.3">
      <c r="A55" s="307" t="s">
        <v>85</v>
      </c>
      <c r="B55" s="406" t="str">
        <f>B21</f>
        <v>Sulphamethoxazole 800 mg, Trimethoprim 160 mg</v>
      </c>
    </row>
    <row r="56" spans="1:12" ht="26.25" customHeight="1" x14ac:dyDescent="0.4">
      <c r="A56" s="406" t="s">
        <v>86</v>
      </c>
      <c r="B56" s="407">
        <v>160</v>
      </c>
      <c r="C56" s="307" t="str">
        <f>B20</f>
        <v>Sulphamethoxazole 800 mg, Trimethoprim 160 mg</v>
      </c>
      <c r="H56" s="382"/>
    </row>
    <row r="57" spans="1:12" ht="18.75" x14ac:dyDescent="0.3">
      <c r="A57" s="406" t="s">
        <v>87</v>
      </c>
      <c r="B57" s="408">
        <f>Uniformity!C46</f>
        <v>1058.0989999999999</v>
      </c>
      <c r="H57" s="382"/>
    </row>
    <row r="58" spans="1:12" ht="19.5" customHeight="1" thickBot="1" x14ac:dyDescent="0.35">
      <c r="H58" s="382"/>
    </row>
    <row r="59" spans="1:12" s="332" customFormat="1" ht="27" customHeight="1" thickBot="1" x14ac:dyDescent="0.45">
      <c r="A59" s="346" t="s">
        <v>88</v>
      </c>
      <c r="B59" s="347">
        <v>100</v>
      </c>
      <c r="C59" s="307"/>
      <c r="D59" s="409" t="s">
        <v>89</v>
      </c>
      <c r="E59" s="410" t="s">
        <v>61</v>
      </c>
      <c r="F59" s="410" t="s">
        <v>62</v>
      </c>
      <c r="G59" s="410" t="s">
        <v>90</v>
      </c>
      <c r="H59" s="353" t="s">
        <v>91</v>
      </c>
      <c r="L59" s="333"/>
    </row>
    <row r="60" spans="1:12" s="332" customFormat="1" ht="26.25" customHeight="1" x14ac:dyDescent="0.4">
      <c r="A60" s="351" t="s">
        <v>92</v>
      </c>
      <c r="B60" s="352">
        <v>2</v>
      </c>
      <c r="C60" s="411" t="s">
        <v>93</v>
      </c>
      <c r="D60" s="412">
        <v>1061.8900000000001</v>
      </c>
      <c r="E60" s="413">
        <v>1</v>
      </c>
      <c r="F60" s="414">
        <v>2708333</v>
      </c>
      <c r="G60" s="415">
        <f>IF(ISBLANK(F60),"-",(F60/$D$50*$D$47*$B$68)*($B$57/$D$60))</f>
        <v>174.65343515780086</v>
      </c>
      <c r="H60" s="416">
        <f t="shared" ref="H60:H71" si="0">IF(ISBLANK(F60),"-",(G60/$B$56)*100)</f>
        <v>109.15839697362553</v>
      </c>
      <c r="L60" s="333"/>
    </row>
    <row r="61" spans="1:12" s="332" customFormat="1" ht="26.25" customHeight="1" x14ac:dyDescent="0.4">
      <c r="A61" s="351" t="s">
        <v>94</v>
      </c>
      <c r="B61" s="352">
        <v>100</v>
      </c>
      <c r="C61" s="417"/>
      <c r="D61" s="418"/>
      <c r="E61" s="419">
        <v>2</v>
      </c>
      <c r="F61" s="364">
        <v>2733260</v>
      </c>
      <c r="G61" s="420">
        <f>IF(ISBLANK(F61),"-",(F61/$D$50*$D$47*$B$68)*($B$57/$D$60))</f>
        <v>176.26091332912566</v>
      </c>
      <c r="H61" s="421">
        <f t="shared" si="0"/>
        <v>110.16307083070353</v>
      </c>
      <c r="L61" s="333"/>
    </row>
    <row r="62" spans="1:12" s="332" customFormat="1" ht="26.25" customHeight="1" x14ac:dyDescent="0.4">
      <c r="A62" s="351" t="s">
        <v>95</v>
      </c>
      <c r="B62" s="352">
        <v>1</v>
      </c>
      <c r="C62" s="417"/>
      <c r="D62" s="418"/>
      <c r="E62" s="419">
        <v>3</v>
      </c>
      <c r="F62" s="422">
        <v>2739320</v>
      </c>
      <c r="G62" s="420">
        <f>IF(ISBLANK(F62),"-",(F62/$D$50*$D$47*$B$68)*($B$57/$D$60))</f>
        <v>176.65170715582875</v>
      </c>
      <c r="H62" s="421">
        <f t="shared" si="0"/>
        <v>110.40731697239296</v>
      </c>
      <c r="L62" s="333"/>
    </row>
    <row r="63" spans="1:12" ht="27" customHeight="1" thickBot="1" x14ac:dyDescent="0.45">
      <c r="A63" s="351" t="s">
        <v>96</v>
      </c>
      <c r="B63" s="352">
        <v>1</v>
      </c>
      <c r="C63" s="423"/>
      <c r="D63" s="424"/>
      <c r="E63" s="425">
        <v>4</v>
      </c>
      <c r="F63" s="426"/>
      <c r="G63" s="420" t="str">
        <f>IF(ISBLANK(F63),"-",(F63/$D$50*$D$47*$B$68)*($B$57/$D$60))</f>
        <v>-</v>
      </c>
      <c r="H63" s="421" t="str">
        <f t="shared" si="0"/>
        <v>-</v>
      </c>
    </row>
    <row r="64" spans="1:12" ht="26.25" customHeight="1" x14ac:dyDescent="0.4">
      <c r="A64" s="351" t="s">
        <v>97</v>
      </c>
      <c r="B64" s="352">
        <v>1</v>
      </c>
      <c r="C64" s="411" t="s">
        <v>98</v>
      </c>
      <c r="D64" s="412">
        <v>1060.47</v>
      </c>
      <c r="E64" s="413">
        <v>1</v>
      </c>
      <c r="F64" s="414">
        <v>2630212</v>
      </c>
      <c r="G64" s="415">
        <f>IF(ISBLANK(F64),"-",(F64/$D$50*$D$47*$B$68)*($B$57/$D$64))</f>
        <v>169.84273283791327</v>
      </c>
      <c r="H64" s="416">
        <f t="shared" si="0"/>
        <v>106.1517080236958</v>
      </c>
    </row>
    <row r="65" spans="1:8" ht="26.25" customHeight="1" x14ac:dyDescent="0.4">
      <c r="A65" s="351" t="s">
        <v>99</v>
      </c>
      <c r="B65" s="352">
        <v>1</v>
      </c>
      <c r="C65" s="417"/>
      <c r="D65" s="418"/>
      <c r="E65" s="419">
        <v>2</v>
      </c>
      <c r="F65" s="364">
        <v>2654219</v>
      </c>
      <c r="G65" s="420">
        <f>IF(ISBLANK(F65),"-",(F65/$D$50*$D$47*$B$68)*($B$57/$D$64))</f>
        <v>171.39295559077112</v>
      </c>
      <c r="H65" s="421">
        <f t="shared" si="0"/>
        <v>107.12059724423196</v>
      </c>
    </row>
    <row r="66" spans="1:8" ht="26.25" customHeight="1" x14ac:dyDescent="0.4">
      <c r="A66" s="351" t="s">
        <v>100</v>
      </c>
      <c r="B66" s="352">
        <v>1</v>
      </c>
      <c r="C66" s="417"/>
      <c r="D66" s="418"/>
      <c r="E66" s="419">
        <v>3</v>
      </c>
      <c r="F66" s="364">
        <v>2642634</v>
      </c>
      <c r="G66" s="420">
        <f>IF(ISBLANK(F66),"-",(F66/$D$50*$D$47*$B$68)*($B$57/$D$64))</f>
        <v>170.64486834155809</v>
      </c>
      <c r="H66" s="421">
        <f t="shared" si="0"/>
        <v>106.65304271347379</v>
      </c>
    </row>
    <row r="67" spans="1:8" ht="27" customHeight="1" thickBot="1" x14ac:dyDescent="0.45">
      <c r="A67" s="351" t="s">
        <v>101</v>
      </c>
      <c r="B67" s="352">
        <v>1</v>
      </c>
      <c r="C67" s="423"/>
      <c r="D67" s="424"/>
      <c r="E67" s="425">
        <v>4</v>
      </c>
      <c r="F67" s="426"/>
      <c r="G67" s="427" t="str">
        <f>IF(ISBLANK(F67),"-",(F67/$D$50*$D$47*$B$68)*($B$57/$D$64))</f>
        <v>-</v>
      </c>
      <c r="H67" s="428" t="str">
        <f t="shared" si="0"/>
        <v>-</v>
      </c>
    </row>
    <row r="68" spans="1:8" ht="26.25" customHeight="1" x14ac:dyDescent="0.4">
      <c r="A68" s="351" t="s">
        <v>102</v>
      </c>
      <c r="B68" s="429">
        <f>(B67/B66)*(B65/B64)*(B63/B62)*(B61/B60)*B59</f>
        <v>5000</v>
      </c>
      <c r="C68" s="411" t="s">
        <v>103</v>
      </c>
      <c r="D68" s="412">
        <v>1067.25</v>
      </c>
      <c r="E68" s="413">
        <v>1</v>
      </c>
      <c r="F68" s="414">
        <v>2640540</v>
      </c>
      <c r="G68" s="415">
        <f>IF(ISBLANK(F68),"-",(F68/$D$50*$D$47*$B$68)*($B$57/$D$68))</f>
        <v>169.42644125686883</v>
      </c>
      <c r="H68" s="421">
        <f t="shared" si="0"/>
        <v>105.89152578554302</v>
      </c>
    </row>
    <row r="69" spans="1:8" ht="27" customHeight="1" thickBot="1" x14ac:dyDescent="0.45">
      <c r="A69" s="402" t="s">
        <v>104</v>
      </c>
      <c r="B69" s="430">
        <f>(D47*B68)/B56*B57</f>
        <v>1058.0989999999999</v>
      </c>
      <c r="C69" s="417"/>
      <c r="D69" s="418"/>
      <c r="E69" s="419">
        <v>2</v>
      </c>
      <c r="F69" s="364">
        <v>2668622</v>
      </c>
      <c r="G69" s="420">
        <f>IF(ISBLANK(F69),"-",(F69/$D$50*$D$47*$B$68)*($B$57/$D$68))</f>
        <v>171.22828229066317</v>
      </c>
      <c r="H69" s="421">
        <f t="shared" si="0"/>
        <v>107.01767643166448</v>
      </c>
    </row>
    <row r="70" spans="1:8" ht="26.25" customHeight="1" x14ac:dyDescent="0.4">
      <c r="A70" s="431" t="s">
        <v>77</v>
      </c>
      <c r="B70" s="432"/>
      <c r="C70" s="417"/>
      <c r="D70" s="418"/>
      <c r="E70" s="419">
        <v>3</v>
      </c>
      <c r="F70" s="364">
        <v>2689434</v>
      </c>
      <c r="G70" s="420">
        <f>IF(ISBLANK(F70),"-",(F70/$D$50*$D$47*$B$68)*($B$57/$D$68))</f>
        <v>172.56365425830541</v>
      </c>
      <c r="H70" s="421">
        <f t="shared" si="0"/>
        <v>107.85228391144088</v>
      </c>
    </row>
    <row r="71" spans="1:8" ht="27" customHeight="1" thickBot="1" x14ac:dyDescent="0.45">
      <c r="A71" s="433"/>
      <c r="B71" s="434"/>
      <c r="C71" s="435"/>
      <c r="D71" s="424"/>
      <c r="E71" s="425">
        <v>4</v>
      </c>
      <c r="F71" s="426"/>
      <c r="G71" s="427" t="str">
        <f>IF(ISBLANK(F71),"-",(F71/$D$50*$D$47*$B$68)*($B$57/$D$68))</f>
        <v>-</v>
      </c>
      <c r="H71" s="428" t="str">
        <f t="shared" si="0"/>
        <v>-</v>
      </c>
    </row>
    <row r="72" spans="1:8" ht="26.25" customHeight="1" x14ac:dyDescent="0.4">
      <c r="A72" s="382"/>
      <c r="B72" s="382"/>
      <c r="C72" s="382"/>
      <c r="D72" s="382"/>
      <c r="E72" s="382"/>
      <c r="F72" s="436" t="s">
        <v>70</v>
      </c>
      <c r="G72" s="437">
        <f>AVERAGE(G60:G71)</f>
        <v>172.51833224653726</v>
      </c>
      <c r="H72" s="438">
        <f>AVERAGE(H60:H71)</f>
        <v>107.82395765408577</v>
      </c>
    </row>
    <row r="73" spans="1:8" ht="26.25" customHeight="1" x14ac:dyDescent="0.4">
      <c r="C73" s="382"/>
      <c r="D73" s="382"/>
      <c r="E73" s="382"/>
      <c r="F73" s="439" t="s">
        <v>83</v>
      </c>
      <c r="G73" s="440">
        <f>STDEV(G60:G71)/G72</f>
        <v>1.5716335501309884E-2</v>
      </c>
      <c r="H73" s="440">
        <f>STDEV(H60:H71)/H72</f>
        <v>1.571633550130986E-2</v>
      </c>
    </row>
    <row r="74" spans="1:8" ht="27" customHeight="1" thickBot="1" x14ac:dyDescent="0.45">
      <c r="A74" s="382"/>
      <c r="B74" s="382"/>
      <c r="C74" s="382"/>
      <c r="D74" s="382"/>
      <c r="E74" s="384"/>
      <c r="F74" s="441" t="s">
        <v>20</v>
      </c>
      <c r="G74" s="442">
        <f>COUNT(G60:G71)</f>
        <v>9</v>
      </c>
      <c r="H74" s="442">
        <f>COUNT(H60:H71)</f>
        <v>9</v>
      </c>
    </row>
    <row r="76" spans="1:8" ht="26.25" customHeight="1" x14ac:dyDescent="0.4">
      <c r="A76" s="324" t="s">
        <v>105</v>
      </c>
      <c r="B76" s="325" t="s">
        <v>106</v>
      </c>
      <c r="C76" s="443" t="str">
        <f>B26</f>
        <v>Trimethoprim</v>
      </c>
      <c r="D76" s="443"/>
      <c r="E76" s="307" t="s">
        <v>107</v>
      </c>
      <c r="F76" s="307"/>
      <c r="G76" s="444">
        <f>H72</f>
        <v>107.82395765408577</v>
      </c>
      <c r="H76" s="334"/>
    </row>
    <row r="77" spans="1:8" ht="18.75" x14ac:dyDescent="0.3">
      <c r="A77" s="323" t="s">
        <v>108</v>
      </c>
      <c r="B77" s="323" t="s">
        <v>109</v>
      </c>
    </row>
    <row r="78" spans="1:8" ht="18.75" x14ac:dyDescent="0.3">
      <c r="A78" s="323"/>
      <c r="B78" s="323"/>
    </row>
    <row r="79" spans="1:8" ht="26.25" customHeight="1" x14ac:dyDescent="0.4">
      <c r="A79" s="324" t="s">
        <v>4</v>
      </c>
      <c r="B79" s="445" t="str">
        <f>B26</f>
        <v>Trimethoprim</v>
      </c>
      <c r="C79" s="445"/>
    </row>
    <row r="80" spans="1:8" ht="26.25" customHeight="1" x14ac:dyDescent="0.4">
      <c r="A80" s="325" t="s">
        <v>47</v>
      </c>
      <c r="B80" s="445" t="str">
        <f>B27</f>
        <v>T17-4</v>
      </c>
      <c r="C80" s="445"/>
    </row>
    <row r="81" spans="1:12" ht="27" customHeight="1" thickBot="1" x14ac:dyDescent="0.45">
      <c r="A81" s="325" t="s">
        <v>6</v>
      </c>
      <c r="B81" s="327">
        <f>B28</f>
        <v>99.3</v>
      </c>
    </row>
    <row r="82" spans="1:12" s="332" customFormat="1" ht="27" customHeight="1" thickBot="1" x14ac:dyDescent="0.45">
      <c r="A82" s="325" t="s">
        <v>48</v>
      </c>
      <c r="B82" s="328">
        <v>0</v>
      </c>
      <c r="C82" s="329" t="s">
        <v>49</v>
      </c>
      <c r="D82" s="330"/>
      <c r="E82" s="330"/>
      <c r="F82" s="330"/>
      <c r="G82" s="331"/>
      <c r="I82" s="333"/>
      <c r="J82" s="333"/>
      <c r="K82" s="333"/>
      <c r="L82" s="333"/>
    </row>
    <row r="83" spans="1:12" s="332" customFormat="1" ht="19.5" customHeight="1" thickBot="1" x14ac:dyDescent="0.35">
      <c r="A83" s="325" t="s">
        <v>50</v>
      </c>
      <c r="B83" s="334">
        <f>B81-B82</f>
        <v>99.3</v>
      </c>
      <c r="C83" s="335"/>
      <c r="D83" s="335"/>
      <c r="E83" s="335"/>
      <c r="F83" s="335"/>
      <c r="G83" s="336"/>
      <c r="I83" s="333"/>
      <c r="J83" s="333"/>
      <c r="K83" s="333"/>
      <c r="L83" s="333"/>
    </row>
    <row r="84" spans="1:12" s="332" customFormat="1" ht="27" customHeight="1" thickBot="1" x14ac:dyDescent="0.45">
      <c r="A84" s="325" t="s">
        <v>51</v>
      </c>
      <c r="B84" s="337">
        <v>1</v>
      </c>
      <c r="C84" s="338" t="s">
        <v>110</v>
      </c>
      <c r="D84" s="339"/>
      <c r="E84" s="339"/>
      <c r="F84" s="339"/>
      <c r="G84" s="339"/>
      <c r="H84" s="340"/>
      <c r="I84" s="333"/>
      <c r="J84" s="333"/>
      <c r="K84" s="333"/>
      <c r="L84" s="333"/>
    </row>
    <row r="85" spans="1:12" s="332" customFormat="1" ht="27" customHeight="1" thickBot="1" x14ac:dyDescent="0.45">
      <c r="A85" s="325" t="s">
        <v>53</v>
      </c>
      <c r="B85" s="337">
        <v>1</v>
      </c>
      <c r="C85" s="338" t="s">
        <v>111</v>
      </c>
      <c r="D85" s="339"/>
      <c r="E85" s="339"/>
      <c r="F85" s="339"/>
      <c r="G85" s="339"/>
      <c r="H85" s="340"/>
      <c r="I85" s="333"/>
      <c r="J85" s="333"/>
      <c r="K85" s="333"/>
      <c r="L85" s="333"/>
    </row>
    <row r="86" spans="1:12" s="332" customFormat="1" ht="18.75" x14ac:dyDescent="0.3">
      <c r="A86" s="325"/>
      <c r="B86" s="343"/>
      <c r="C86" s="344"/>
      <c r="D86" s="344"/>
      <c r="E86" s="344"/>
      <c r="F86" s="344"/>
      <c r="G86" s="344"/>
      <c r="H86" s="344"/>
      <c r="I86" s="333"/>
      <c r="J86" s="333"/>
      <c r="K86" s="333"/>
      <c r="L86" s="333"/>
    </row>
    <row r="87" spans="1:12" s="332" customFormat="1" ht="18.75" x14ac:dyDescent="0.3">
      <c r="A87" s="325" t="s">
        <v>55</v>
      </c>
      <c r="B87" s="345">
        <f>B84/B85</f>
        <v>1</v>
      </c>
      <c r="C87" s="307" t="s">
        <v>56</v>
      </c>
      <c r="D87" s="307"/>
      <c r="E87" s="307"/>
      <c r="F87" s="307"/>
      <c r="G87" s="307"/>
      <c r="I87" s="333"/>
      <c r="J87" s="333"/>
      <c r="K87" s="333"/>
      <c r="L87" s="333"/>
    </row>
    <row r="88" spans="1:12" ht="19.5" customHeight="1" thickBot="1" x14ac:dyDescent="0.35">
      <c r="A88" s="323"/>
      <c r="B88" s="323"/>
    </row>
    <row r="89" spans="1:12" ht="27" customHeight="1" thickBot="1" x14ac:dyDescent="0.45">
      <c r="A89" s="346" t="s">
        <v>57</v>
      </c>
      <c r="B89" s="347">
        <v>25</v>
      </c>
      <c r="D89" s="446" t="s">
        <v>58</v>
      </c>
      <c r="E89" s="447"/>
      <c r="F89" s="348" t="s">
        <v>59</v>
      </c>
      <c r="G89" s="350"/>
    </row>
    <row r="90" spans="1:12" ht="27" customHeight="1" thickBot="1" x14ac:dyDescent="0.45">
      <c r="A90" s="351" t="s">
        <v>60</v>
      </c>
      <c r="B90" s="352">
        <v>4</v>
      </c>
      <c r="C90" s="448" t="s">
        <v>61</v>
      </c>
      <c r="D90" s="354" t="s">
        <v>62</v>
      </c>
      <c r="E90" s="355" t="s">
        <v>63</v>
      </c>
      <c r="F90" s="354" t="s">
        <v>62</v>
      </c>
      <c r="G90" s="449" t="s">
        <v>63</v>
      </c>
      <c r="I90" s="357" t="s">
        <v>64</v>
      </c>
    </row>
    <row r="91" spans="1:12" ht="26.25" customHeight="1" x14ac:dyDescent="0.4">
      <c r="A91" s="351" t="s">
        <v>65</v>
      </c>
      <c r="B91" s="352">
        <v>100</v>
      </c>
      <c r="C91" s="450">
        <v>1</v>
      </c>
      <c r="D91" s="359">
        <v>2663001</v>
      </c>
      <c r="E91" s="360">
        <f>IF(ISBLANK(D91),"-",$D$101/$D$98*D91)</f>
        <v>2707631.2927429755</v>
      </c>
      <c r="F91" s="359">
        <v>2361570</v>
      </c>
      <c r="G91" s="361">
        <f>IF(ISBLANK(F91),"-",$D$101/$F$98*F91)</f>
        <v>2783005.7020169799</v>
      </c>
      <c r="I91" s="362"/>
    </row>
    <row r="92" spans="1:12" ht="26.25" customHeight="1" x14ac:dyDescent="0.4">
      <c r="A92" s="351" t="s">
        <v>66</v>
      </c>
      <c r="B92" s="352">
        <v>1</v>
      </c>
      <c r="C92" s="382">
        <v>2</v>
      </c>
      <c r="D92" s="364">
        <v>2662338</v>
      </c>
      <c r="E92" s="365">
        <f>IF(ISBLANK(D92),"-",$D$101/$D$98*D92)</f>
        <v>2706957.1812623232</v>
      </c>
      <c r="F92" s="364">
        <v>2353619</v>
      </c>
      <c r="G92" s="366">
        <f>IF(ISBLANK(F92),"-",$D$101/$F$98*F92)</f>
        <v>2773635.8004952227</v>
      </c>
      <c r="I92" s="367">
        <f>ABS((F96/D96*D95)-F95)/D95</f>
        <v>1.7458445714515505E-2</v>
      </c>
    </row>
    <row r="93" spans="1:12" ht="26.25" customHeight="1" x14ac:dyDescent="0.4">
      <c r="A93" s="351" t="s">
        <v>67</v>
      </c>
      <c r="B93" s="352">
        <v>1</v>
      </c>
      <c r="C93" s="382">
        <v>3</v>
      </c>
      <c r="D93" s="364">
        <v>2698466</v>
      </c>
      <c r="E93" s="365">
        <f>IF(ISBLANK(D93),"-",$D$101/$D$98*D93)</f>
        <v>2743690.6647811872</v>
      </c>
      <c r="F93" s="364">
        <v>2347750</v>
      </c>
      <c r="G93" s="366">
        <f>IF(ISBLANK(F93),"-",$D$101/$F$98*F93)</f>
        <v>2766719.4438066054</v>
      </c>
      <c r="I93" s="367"/>
    </row>
    <row r="94" spans="1:12" ht="27" customHeight="1" thickBot="1" x14ac:dyDescent="0.45">
      <c r="A94" s="351" t="s">
        <v>68</v>
      </c>
      <c r="B94" s="352">
        <v>1</v>
      </c>
      <c r="C94" s="451">
        <v>4</v>
      </c>
      <c r="D94" s="369"/>
      <c r="E94" s="370" t="str">
        <f>IF(ISBLANK(D94),"-",$D$101/$D$98*D94)</f>
        <v>-</v>
      </c>
      <c r="F94" s="452"/>
      <c r="G94" s="371" t="str">
        <f>IF(ISBLANK(F94),"-",$D$101/$F$98*F94)</f>
        <v>-</v>
      </c>
      <c r="I94" s="372"/>
    </row>
    <row r="95" spans="1:12" ht="27" customHeight="1" thickBot="1" x14ac:dyDescent="0.45">
      <c r="A95" s="351" t="s">
        <v>69</v>
      </c>
      <c r="B95" s="352">
        <v>1</v>
      </c>
      <c r="C95" s="325" t="s">
        <v>70</v>
      </c>
      <c r="D95" s="453">
        <f>AVERAGE(D91:D94)</f>
        <v>2674601.6666666665</v>
      </c>
      <c r="E95" s="375">
        <f>AVERAGE(E91:E94)</f>
        <v>2719426.3795954953</v>
      </c>
      <c r="F95" s="454">
        <f>AVERAGE(F91:F94)</f>
        <v>2354313</v>
      </c>
      <c r="G95" s="455">
        <f>AVERAGE(G91:G94)</f>
        <v>2774453.6487729358</v>
      </c>
    </row>
    <row r="96" spans="1:12" ht="26.25" customHeight="1" x14ac:dyDescent="0.4">
      <c r="A96" s="351" t="s">
        <v>71</v>
      </c>
      <c r="B96" s="327">
        <v>1</v>
      </c>
      <c r="C96" s="456" t="s">
        <v>112</v>
      </c>
      <c r="D96" s="457">
        <v>22.01</v>
      </c>
      <c r="E96" s="307"/>
      <c r="F96" s="379">
        <v>18.989999999999998</v>
      </c>
    </row>
    <row r="97" spans="1:10" ht="26.25" customHeight="1" x14ac:dyDescent="0.4">
      <c r="A97" s="351" t="s">
        <v>73</v>
      </c>
      <c r="B97" s="327">
        <v>1</v>
      </c>
      <c r="C97" s="458" t="s">
        <v>113</v>
      </c>
      <c r="D97" s="459">
        <f>D96*$B$87</f>
        <v>22.01</v>
      </c>
      <c r="E97" s="382"/>
      <c r="F97" s="381">
        <f>F96*$B$87</f>
        <v>18.989999999999998</v>
      </c>
    </row>
    <row r="98" spans="1:10" ht="19.5" customHeight="1" thickBot="1" x14ac:dyDescent="0.35">
      <c r="A98" s="351" t="s">
        <v>75</v>
      </c>
      <c r="B98" s="382">
        <f>(B97/B96)*(B95/B94)*(B93/B92)*(B91/B90)*B89</f>
        <v>625</v>
      </c>
      <c r="C98" s="458" t="s">
        <v>114</v>
      </c>
      <c r="D98" s="460">
        <f>D97*$B$83/100</f>
        <v>21.855930000000004</v>
      </c>
      <c r="E98" s="384"/>
      <c r="F98" s="383">
        <f>F97*$B$83/100</f>
        <v>18.85707</v>
      </c>
    </row>
    <row r="99" spans="1:10" ht="19.5" customHeight="1" thickBot="1" x14ac:dyDescent="0.35">
      <c r="A99" s="385" t="s">
        <v>77</v>
      </c>
      <c r="B99" s="461"/>
      <c r="C99" s="458" t="s">
        <v>115</v>
      </c>
      <c r="D99" s="462">
        <f>D98/$B$98</f>
        <v>3.4969488000000007E-2</v>
      </c>
      <c r="E99" s="384"/>
      <c r="F99" s="389">
        <f>F98/$B$98</f>
        <v>3.0171311999999999E-2</v>
      </c>
      <c r="H99" s="377"/>
    </row>
    <row r="100" spans="1:10" ht="19.5" customHeight="1" thickBot="1" x14ac:dyDescent="0.35">
      <c r="A100" s="390"/>
      <c r="B100" s="463"/>
      <c r="C100" s="458" t="s">
        <v>79</v>
      </c>
      <c r="D100" s="464">
        <f>$B$56/$B$116</f>
        <v>3.5555555555555556E-2</v>
      </c>
      <c r="F100" s="396"/>
      <c r="G100" s="465"/>
      <c r="H100" s="377"/>
    </row>
    <row r="101" spans="1:10" ht="18.75" x14ac:dyDescent="0.3">
      <c r="C101" s="458" t="s">
        <v>80</v>
      </c>
      <c r="D101" s="459">
        <f>D100*$B$98</f>
        <v>22.222222222222221</v>
      </c>
      <c r="F101" s="396"/>
      <c r="H101" s="377"/>
    </row>
    <row r="102" spans="1:10" ht="19.5" customHeight="1" thickBot="1" x14ac:dyDescent="0.35">
      <c r="C102" s="466" t="s">
        <v>81</v>
      </c>
      <c r="D102" s="467">
        <f>D101/B34</f>
        <v>22.222222222222221</v>
      </c>
      <c r="F102" s="400"/>
      <c r="H102" s="377"/>
      <c r="J102" s="468"/>
    </row>
    <row r="103" spans="1:10" ht="18.75" x14ac:dyDescent="0.3">
      <c r="C103" s="469" t="s">
        <v>116</v>
      </c>
      <c r="D103" s="470">
        <f>AVERAGE(E91:E94,G91:G94)</f>
        <v>2746940.0141842156</v>
      </c>
      <c r="F103" s="400"/>
      <c r="G103" s="465"/>
      <c r="H103" s="377"/>
      <c r="J103" s="471"/>
    </row>
    <row r="104" spans="1:10" ht="18.75" x14ac:dyDescent="0.3">
      <c r="C104" s="439" t="s">
        <v>83</v>
      </c>
      <c r="D104" s="472">
        <f>STDEV(E91:E94,G91:G94)/D103</f>
        <v>1.2138459994121227E-2</v>
      </c>
      <c r="F104" s="400"/>
      <c r="H104" s="377"/>
      <c r="J104" s="471"/>
    </row>
    <row r="105" spans="1:10" ht="19.5" customHeight="1" thickBot="1" x14ac:dyDescent="0.35">
      <c r="C105" s="441" t="s">
        <v>20</v>
      </c>
      <c r="D105" s="473">
        <f>COUNT(E91:E94,G91:G94)</f>
        <v>6</v>
      </c>
      <c r="F105" s="400"/>
      <c r="H105" s="377"/>
      <c r="J105" s="471"/>
    </row>
    <row r="106" spans="1:10" ht="19.5" customHeight="1" thickBot="1" x14ac:dyDescent="0.35">
      <c r="A106" s="404"/>
      <c r="B106" s="404"/>
      <c r="C106" s="404"/>
      <c r="D106" s="404"/>
      <c r="E106" s="404"/>
    </row>
    <row r="107" spans="1:10" ht="27" customHeight="1" thickBot="1" x14ac:dyDescent="0.45">
      <c r="A107" s="346" t="s">
        <v>117</v>
      </c>
      <c r="B107" s="347">
        <v>900</v>
      </c>
      <c r="C107" s="410" t="s">
        <v>118</v>
      </c>
      <c r="D107" s="410" t="s">
        <v>62</v>
      </c>
      <c r="E107" s="410" t="s">
        <v>119</v>
      </c>
      <c r="F107" s="474" t="s">
        <v>120</v>
      </c>
    </row>
    <row r="108" spans="1:10" ht="26.25" customHeight="1" x14ac:dyDescent="0.4">
      <c r="A108" s="351" t="s">
        <v>121</v>
      </c>
      <c r="B108" s="352">
        <v>10</v>
      </c>
      <c r="C108" s="413">
        <v>1</v>
      </c>
      <c r="D108" s="475">
        <v>2828520</v>
      </c>
      <c r="E108" s="476">
        <f t="shared" ref="E108:E113" si="1">IF(ISBLANK(D108),"-",D108/$D$103*$D$100*$B$116)</f>
        <v>164.75175928965521</v>
      </c>
      <c r="F108" s="477">
        <f t="shared" ref="F108:F113" si="2">IF(ISBLANK(D108), "-", (E108/$B$56)*100)</f>
        <v>102.9698495560345</v>
      </c>
    </row>
    <row r="109" spans="1:10" ht="26.25" customHeight="1" x14ac:dyDescent="0.4">
      <c r="A109" s="351" t="s">
        <v>94</v>
      </c>
      <c r="B109" s="352">
        <v>50</v>
      </c>
      <c r="C109" s="419">
        <v>2</v>
      </c>
      <c r="D109" s="478">
        <v>2826427</v>
      </c>
      <c r="E109" s="479">
        <f t="shared" si="1"/>
        <v>164.62984909202777</v>
      </c>
      <c r="F109" s="480">
        <f t="shared" si="2"/>
        <v>102.89365568251736</v>
      </c>
    </row>
    <row r="110" spans="1:10" ht="26.25" customHeight="1" x14ac:dyDescent="0.4">
      <c r="A110" s="351" t="s">
        <v>95</v>
      </c>
      <c r="B110" s="352">
        <v>1</v>
      </c>
      <c r="C110" s="419">
        <v>3</v>
      </c>
      <c r="D110" s="478">
        <v>2834192</v>
      </c>
      <c r="E110" s="479">
        <f t="shared" si="1"/>
        <v>165.08213417782673</v>
      </c>
      <c r="F110" s="480">
        <f t="shared" si="2"/>
        <v>103.17633386114171</v>
      </c>
    </row>
    <row r="111" spans="1:10" ht="26.25" customHeight="1" x14ac:dyDescent="0.4">
      <c r="A111" s="351" t="s">
        <v>96</v>
      </c>
      <c r="B111" s="352">
        <v>1</v>
      </c>
      <c r="C111" s="419">
        <v>4</v>
      </c>
      <c r="D111" s="478">
        <v>2838924</v>
      </c>
      <c r="E111" s="479">
        <f t="shared" si="1"/>
        <v>165.35775723333236</v>
      </c>
      <c r="F111" s="480">
        <f t="shared" si="2"/>
        <v>103.34859827083274</v>
      </c>
    </row>
    <row r="112" spans="1:10" ht="26.25" customHeight="1" x14ac:dyDescent="0.4">
      <c r="A112" s="351" t="s">
        <v>97</v>
      </c>
      <c r="B112" s="352">
        <v>1</v>
      </c>
      <c r="C112" s="419">
        <v>5</v>
      </c>
      <c r="D112" s="478">
        <v>2842597</v>
      </c>
      <c r="E112" s="479">
        <f t="shared" si="1"/>
        <v>165.571697107143</v>
      </c>
      <c r="F112" s="480">
        <f t="shared" si="2"/>
        <v>103.48231069196436</v>
      </c>
    </row>
    <row r="113" spans="1:10" ht="27" customHeight="1" thickBot="1" x14ac:dyDescent="0.45">
      <c r="A113" s="351" t="s">
        <v>99</v>
      </c>
      <c r="B113" s="352">
        <v>1</v>
      </c>
      <c r="C113" s="425">
        <v>6</v>
      </c>
      <c r="D113" s="481">
        <v>285900</v>
      </c>
      <c r="E113" s="482">
        <f t="shared" si="1"/>
        <v>16.65271165871637</v>
      </c>
      <c r="F113" s="483">
        <f t="shared" si="2"/>
        <v>10.407944786697731</v>
      </c>
    </row>
    <row r="114" spans="1:10" ht="27" customHeight="1" thickBot="1" x14ac:dyDescent="0.45">
      <c r="A114" s="351" t="s">
        <v>100</v>
      </c>
      <c r="B114" s="352">
        <v>1</v>
      </c>
      <c r="C114" s="484"/>
      <c r="D114" s="382"/>
      <c r="E114" s="307"/>
      <c r="F114" s="480"/>
    </row>
    <row r="115" spans="1:10" ht="26.25" customHeight="1" x14ac:dyDescent="0.4">
      <c r="A115" s="351" t="s">
        <v>101</v>
      </c>
      <c r="B115" s="352">
        <v>1</v>
      </c>
      <c r="C115" s="484"/>
      <c r="D115" s="485" t="s">
        <v>70</v>
      </c>
      <c r="E115" s="486">
        <f>AVERAGE(E108:E113)</f>
        <v>140.34098475978359</v>
      </c>
      <c r="F115" s="487">
        <f>AVERAGE(F108:F113)</f>
        <v>87.713115474864722</v>
      </c>
    </row>
    <row r="116" spans="1:10" ht="27" customHeight="1" thickBot="1" x14ac:dyDescent="0.45">
      <c r="A116" s="351" t="s">
        <v>102</v>
      </c>
      <c r="B116" s="363">
        <f>(B115/B114)*(B113/B112)*(B111/B110)*(B109/B108)*B107</f>
        <v>4500</v>
      </c>
      <c r="C116" s="488"/>
      <c r="D116" s="489" t="s">
        <v>83</v>
      </c>
      <c r="E116" s="440">
        <f>STDEV(E108:E113)/E115</f>
        <v>0.43177458009839897</v>
      </c>
      <c r="F116" s="490">
        <f>STDEV(F108:F113)/F115</f>
        <v>0.43177458009839975</v>
      </c>
      <c r="I116" s="307"/>
    </row>
    <row r="117" spans="1:10" ht="27" customHeight="1" thickBot="1" x14ac:dyDescent="0.45">
      <c r="A117" s="385" t="s">
        <v>77</v>
      </c>
      <c r="B117" s="386"/>
      <c r="C117" s="491"/>
      <c r="D117" s="441" t="s">
        <v>20</v>
      </c>
      <c r="E117" s="492">
        <f>COUNT(E108:E113)</f>
        <v>6</v>
      </c>
      <c r="F117" s="493">
        <f>COUNT(F108:F113)</f>
        <v>6</v>
      </c>
      <c r="I117" s="307"/>
      <c r="J117" s="471"/>
    </row>
    <row r="118" spans="1:10" ht="26.25" customHeight="1" thickBot="1" x14ac:dyDescent="0.35">
      <c r="A118" s="390"/>
      <c r="B118" s="391"/>
      <c r="C118" s="307"/>
      <c r="D118" s="494"/>
      <c r="E118" s="495" t="s">
        <v>122</v>
      </c>
      <c r="F118" s="496"/>
      <c r="G118" s="307"/>
      <c r="H118" s="307"/>
      <c r="I118" s="307"/>
    </row>
    <row r="119" spans="1:10" ht="25.5" customHeight="1" x14ac:dyDescent="0.4">
      <c r="A119" s="497"/>
      <c r="B119" s="344"/>
      <c r="C119" s="307"/>
      <c r="D119" s="489" t="s">
        <v>123</v>
      </c>
      <c r="E119" s="498">
        <f>MIN(E108:E113)</f>
        <v>16.65271165871637</v>
      </c>
      <c r="F119" s="499">
        <f>MIN(F108:F113)</f>
        <v>10.407944786697731</v>
      </c>
      <c r="G119" s="307"/>
      <c r="H119" s="307"/>
      <c r="I119" s="307"/>
    </row>
    <row r="120" spans="1:10" ht="24" customHeight="1" thickBot="1" x14ac:dyDescent="0.45">
      <c r="A120" s="497"/>
      <c r="B120" s="344"/>
      <c r="C120" s="307"/>
      <c r="D120" s="397" t="s">
        <v>124</v>
      </c>
      <c r="E120" s="500">
        <f>MAX(E108:E113)</f>
        <v>165.571697107143</v>
      </c>
      <c r="F120" s="501">
        <f>MAX(F108:F113)</f>
        <v>103.48231069196436</v>
      </c>
      <c r="G120" s="307"/>
      <c r="H120" s="307"/>
      <c r="I120" s="307"/>
    </row>
    <row r="121" spans="1:10" ht="27" customHeight="1" x14ac:dyDescent="0.3">
      <c r="A121" s="497"/>
      <c r="B121" s="344"/>
      <c r="C121" s="307"/>
      <c r="D121" s="307"/>
      <c r="E121" s="307"/>
      <c r="F121" s="382"/>
      <c r="G121" s="307"/>
      <c r="H121" s="307"/>
      <c r="I121" s="307"/>
    </row>
    <row r="122" spans="1:10" ht="25.5" customHeight="1" x14ac:dyDescent="0.3">
      <c r="A122" s="497"/>
      <c r="B122" s="344"/>
      <c r="C122" s="307"/>
      <c r="D122" s="307"/>
      <c r="E122" s="307"/>
      <c r="F122" s="382"/>
      <c r="G122" s="307"/>
      <c r="H122" s="307"/>
      <c r="I122" s="307"/>
    </row>
    <row r="123" spans="1:10" ht="18.75" x14ac:dyDescent="0.3">
      <c r="A123" s="497"/>
      <c r="B123" s="344"/>
      <c r="C123" s="307"/>
      <c r="D123" s="307"/>
      <c r="E123" s="307"/>
      <c r="F123" s="382"/>
      <c r="G123" s="307"/>
      <c r="H123" s="307"/>
      <c r="I123" s="307"/>
    </row>
    <row r="124" spans="1:10" ht="45.75" customHeight="1" x14ac:dyDescent="0.65">
      <c r="A124" s="324" t="s">
        <v>105</v>
      </c>
      <c r="B124" s="325" t="s">
        <v>125</v>
      </c>
      <c r="C124" s="443" t="str">
        <f>B26</f>
        <v>Trimethoprim</v>
      </c>
      <c r="D124" s="443"/>
      <c r="E124" s="307" t="s">
        <v>126</v>
      </c>
      <c r="F124" s="307"/>
      <c r="G124" s="502">
        <f>F115</f>
        <v>87.713115474864722</v>
      </c>
      <c r="H124" s="307"/>
      <c r="I124" s="307"/>
    </row>
    <row r="125" spans="1:10" ht="45.75" customHeight="1" x14ac:dyDescent="0.65">
      <c r="A125" s="324"/>
      <c r="B125" s="325" t="s">
        <v>127</v>
      </c>
      <c r="C125" s="325" t="s">
        <v>128</v>
      </c>
      <c r="D125" s="502">
        <f>MIN(F108:F113)</f>
        <v>10.407944786697731</v>
      </c>
      <c r="E125" s="325" t="s">
        <v>129</v>
      </c>
      <c r="F125" s="502">
        <f>MAX(F108:F113)</f>
        <v>103.48231069196436</v>
      </c>
      <c r="G125" s="444"/>
      <c r="H125" s="307"/>
      <c r="I125" s="307"/>
    </row>
    <row r="126" spans="1:10" ht="19.5" customHeight="1" thickBot="1" x14ac:dyDescent="0.35">
      <c r="A126" s="503"/>
      <c r="B126" s="503"/>
      <c r="C126" s="504"/>
      <c r="D126" s="504"/>
      <c r="E126" s="504"/>
      <c r="F126" s="504"/>
      <c r="G126" s="504"/>
      <c r="H126" s="504"/>
    </row>
    <row r="127" spans="1:10" ht="18.75" x14ac:dyDescent="0.3">
      <c r="B127" s="505" t="s">
        <v>25</v>
      </c>
      <c r="C127" s="505"/>
      <c r="E127" s="448" t="s">
        <v>26</v>
      </c>
      <c r="F127" s="506"/>
      <c r="G127" s="505" t="s">
        <v>27</v>
      </c>
      <c r="H127" s="505"/>
    </row>
    <row r="128" spans="1:10" ht="69.95" customHeight="1" x14ac:dyDescent="0.3">
      <c r="A128" s="324" t="s">
        <v>28</v>
      </c>
      <c r="B128" s="507"/>
      <c r="C128" s="507"/>
      <c r="E128" s="507"/>
      <c r="F128" s="307"/>
      <c r="G128" s="507"/>
      <c r="H128" s="507"/>
    </row>
    <row r="129" spans="1:9" ht="69.95" customHeight="1" x14ac:dyDescent="0.3">
      <c r="A129" s="324" t="s">
        <v>29</v>
      </c>
      <c r="B129" s="508"/>
      <c r="C129" s="508"/>
      <c r="E129" s="508"/>
      <c r="F129" s="307"/>
      <c r="G129" s="509"/>
      <c r="H129" s="509"/>
    </row>
    <row r="130" spans="1:9" ht="18.75" x14ac:dyDescent="0.3">
      <c r="A130" s="382"/>
      <c r="B130" s="382"/>
      <c r="C130" s="382"/>
      <c r="D130" s="382"/>
      <c r="E130" s="382"/>
      <c r="F130" s="384"/>
      <c r="G130" s="382"/>
      <c r="H130" s="382"/>
      <c r="I130" s="307"/>
    </row>
    <row r="131" spans="1:9" ht="18.75" x14ac:dyDescent="0.3">
      <c r="A131" s="382"/>
      <c r="B131" s="382"/>
      <c r="C131" s="382"/>
      <c r="D131" s="382"/>
      <c r="E131" s="382"/>
      <c r="F131" s="384"/>
      <c r="G131" s="382"/>
      <c r="H131" s="382"/>
      <c r="I131" s="307"/>
    </row>
    <row r="132" spans="1:9" ht="18.75" x14ac:dyDescent="0.3">
      <c r="A132" s="382"/>
      <c r="B132" s="382"/>
      <c r="C132" s="382"/>
      <c r="D132" s="382"/>
      <c r="E132" s="382"/>
      <c r="F132" s="384"/>
      <c r="G132" s="382"/>
      <c r="H132" s="382"/>
      <c r="I132" s="307"/>
    </row>
    <row r="133" spans="1:9" ht="18.75" x14ac:dyDescent="0.3">
      <c r="A133" s="382"/>
      <c r="B133" s="382"/>
      <c r="C133" s="382"/>
      <c r="D133" s="382"/>
      <c r="E133" s="382"/>
      <c r="F133" s="384"/>
      <c r="G133" s="382"/>
      <c r="H133" s="382"/>
      <c r="I133" s="307"/>
    </row>
    <row r="134" spans="1:9" ht="18.75" x14ac:dyDescent="0.3">
      <c r="A134" s="382"/>
      <c r="B134" s="382"/>
      <c r="C134" s="382"/>
      <c r="D134" s="382"/>
      <c r="E134" s="382"/>
      <c r="F134" s="384"/>
      <c r="G134" s="382"/>
      <c r="H134" s="382"/>
      <c r="I134" s="307"/>
    </row>
    <row r="135" spans="1:9" ht="18.75" x14ac:dyDescent="0.3">
      <c r="A135" s="382"/>
      <c r="B135" s="382"/>
      <c r="C135" s="382"/>
      <c r="D135" s="382"/>
      <c r="E135" s="382"/>
      <c r="F135" s="384"/>
      <c r="G135" s="382"/>
      <c r="H135" s="382"/>
      <c r="I135" s="307"/>
    </row>
    <row r="136" spans="1:9" ht="18.75" x14ac:dyDescent="0.3">
      <c r="A136" s="382"/>
      <c r="B136" s="382"/>
      <c r="C136" s="382"/>
      <c r="D136" s="382"/>
      <c r="E136" s="382"/>
      <c r="F136" s="384"/>
      <c r="G136" s="382"/>
      <c r="H136" s="382"/>
      <c r="I136" s="307"/>
    </row>
    <row r="137" spans="1:9" ht="18.75" x14ac:dyDescent="0.3">
      <c r="A137" s="382"/>
      <c r="B137" s="382"/>
      <c r="C137" s="382"/>
      <c r="D137" s="382"/>
      <c r="E137" s="382"/>
      <c r="F137" s="384"/>
      <c r="G137" s="382"/>
      <c r="H137" s="382"/>
      <c r="I137" s="307"/>
    </row>
    <row r="138" spans="1:9" ht="18.75" x14ac:dyDescent="0.3">
      <c r="A138" s="382"/>
      <c r="B138" s="382"/>
      <c r="C138" s="382"/>
      <c r="D138" s="382"/>
      <c r="E138" s="382"/>
      <c r="F138" s="384"/>
      <c r="G138" s="382"/>
      <c r="H138" s="382"/>
      <c r="I138" s="307"/>
    </row>
    <row r="250" spans="1:1" x14ac:dyDescent="0.25">
      <c r="A250" s="305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21" zoomScale="42" zoomScaleNormal="40" zoomScalePageLayoutView="42" workbookViewId="0">
      <selection activeCell="B122" sqref="B122"/>
    </sheetView>
  </sheetViews>
  <sheetFormatPr defaultColWidth="9.140625" defaultRowHeight="13.5" x14ac:dyDescent="0.25"/>
  <cols>
    <col min="1" max="1" width="55.42578125" style="57" customWidth="1"/>
    <col min="2" max="2" width="33.7109375" style="57" customWidth="1"/>
    <col min="3" max="3" width="42.28515625" style="57" customWidth="1"/>
    <col min="4" max="4" width="30.5703125" style="57" customWidth="1"/>
    <col min="5" max="5" width="39.85546875" style="57" customWidth="1"/>
    <col min="6" max="6" width="30.7109375" style="57" customWidth="1"/>
    <col min="7" max="7" width="39.85546875" style="57" customWidth="1"/>
    <col min="8" max="8" width="30" style="57" customWidth="1"/>
    <col min="9" max="9" width="30.28515625" style="57" hidden="1" customWidth="1"/>
    <col min="10" max="10" width="30.42578125" style="57" customWidth="1"/>
    <col min="11" max="11" width="21.28515625" style="57" customWidth="1"/>
    <col min="12" max="12" width="9.140625" style="57"/>
    <col min="13" max="16384" width="9.140625" style="94"/>
  </cols>
  <sheetData>
    <row r="1" spans="1:9" ht="18.75" customHeight="1" x14ac:dyDescent="0.25">
      <c r="A1" s="102" t="s">
        <v>44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8.7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</row>
    <row r="4" spans="1:9" ht="18.7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</row>
    <row r="5" spans="1:9" ht="18.7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</row>
    <row r="6" spans="1:9" ht="18.7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</row>
    <row r="7" spans="1:9" ht="18.7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</row>
    <row r="8" spans="1:9" x14ac:dyDescent="0.25">
      <c r="A8" s="103" t="s">
        <v>45</v>
      </c>
      <c r="B8" s="103"/>
      <c r="C8" s="103"/>
      <c r="D8" s="103"/>
      <c r="E8" s="103"/>
      <c r="F8" s="103"/>
      <c r="G8" s="103"/>
      <c r="H8" s="103"/>
      <c r="I8" s="103"/>
    </row>
    <row r="9" spans="1:9" x14ac:dyDescent="0.25">
      <c r="A9" s="103"/>
      <c r="B9" s="103"/>
      <c r="C9" s="103"/>
      <c r="D9" s="103"/>
      <c r="E9" s="103"/>
      <c r="F9" s="103"/>
      <c r="G9" s="103"/>
      <c r="H9" s="103"/>
      <c r="I9" s="103"/>
    </row>
    <row r="10" spans="1:9" x14ac:dyDescent="0.25">
      <c r="A10" s="103"/>
      <c r="B10" s="103"/>
      <c r="C10" s="103"/>
      <c r="D10" s="103"/>
      <c r="E10" s="103"/>
      <c r="F10" s="103"/>
      <c r="G10" s="103"/>
      <c r="H10" s="103"/>
      <c r="I10" s="103"/>
    </row>
    <row r="11" spans="1:9" x14ac:dyDescent="0.25">
      <c r="A11" s="103"/>
      <c r="B11" s="103"/>
      <c r="C11" s="103"/>
      <c r="D11" s="103"/>
      <c r="E11" s="103"/>
      <c r="F11" s="103"/>
      <c r="G11" s="103"/>
      <c r="H11" s="103"/>
      <c r="I11" s="103"/>
    </row>
    <row r="12" spans="1:9" x14ac:dyDescent="0.25">
      <c r="A12" s="103"/>
      <c r="B12" s="103"/>
      <c r="C12" s="103"/>
      <c r="D12" s="103"/>
      <c r="E12" s="103"/>
      <c r="F12" s="103"/>
      <c r="G12" s="103"/>
      <c r="H12" s="103"/>
      <c r="I12" s="103"/>
    </row>
    <row r="13" spans="1:9" x14ac:dyDescent="0.25">
      <c r="A13" s="103"/>
      <c r="B13" s="103"/>
      <c r="C13" s="103"/>
      <c r="D13" s="103"/>
      <c r="E13" s="103"/>
      <c r="F13" s="103"/>
      <c r="G13" s="103"/>
      <c r="H13" s="103"/>
      <c r="I13" s="103"/>
    </row>
    <row r="14" spans="1:9" x14ac:dyDescent="0.25">
      <c r="A14" s="103"/>
      <c r="B14" s="103"/>
      <c r="C14" s="103"/>
      <c r="D14" s="103"/>
      <c r="E14" s="103"/>
      <c r="F14" s="103"/>
      <c r="G14" s="103"/>
      <c r="H14" s="103"/>
      <c r="I14" s="103"/>
    </row>
    <row r="15" spans="1:9" ht="19.5" customHeight="1" thickBot="1" x14ac:dyDescent="0.35">
      <c r="A15" s="104"/>
    </row>
    <row r="16" spans="1:9" ht="19.5" customHeight="1" thickBot="1" x14ac:dyDescent="0.35">
      <c r="A16" s="105" t="s">
        <v>30</v>
      </c>
      <c r="B16" s="106"/>
      <c r="C16" s="106"/>
      <c r="D16" s="106"/>
      <c r="E16" s="106"/>
      <c r="F16" s="106"/>
      <c r="G16" s="106"/>
      <c r="H16" s="107"/>
    </row>
    <row r="17" spans="1:14" ht="20.25" customHeight="1" x14ac:dyDescent="0.25">
      <c r="A17" s="108" t="s">
        <v>46</v>
      </c>
      <c r="B17" s="108"/>
      <c r="C17" s="108"/>
      <c r="D17" s="108"/>
      <c r="E17" s="108"/>
      <c r="F17" s="108"/>
      <c r="G17" s="108"/>
      <c r="H17" s="108"/>
    </row>
    <row r="18" spans="1:14" ht="26.25" customHeight="1" x14ac:dyDescent="0.4">
      <c r="A18" s="109" t="s">
        <v>32</v>
      </c>
      <c r="B18" s="110" t="s">
        <v>130</v>
      </c>
      <c r="C18" s="110"/>
      <c r="D18" s="111"/>
      <c r="E18" s="112"/>
      <c r="F18" s="113"/>
      <c r="G18" s="113"/>
      <c r="H18" s="113"/>
    </row>
    <row r="19" spans="1:14" ht="26.25" customHeight="1" x14ac:dyDescent="0.4">
      <c r="A19" s="109" t="s">
        <v>33</v>
      </c>
      <c r="B19" s="114" t="s">
        <v>134</v>
      </c>
      <c r="C19" s="113">
        <v>1</v>
      </c>
      <c r="D19" s="113"/>
      <c r="E19" s="113"/>
      <c r="F19" s="113"/>
      <c r="G19" s="113"/>
      <c r="H19" s="113"/>
    </row>
    <row r="20" spans="1:14" ht="26.25" customHeight="1" x14ac:dyDescent="0.4">
      <c r="A20" s="109" t="s">
        <v>34</v>
      </c>
      <c r="B20" s="115" t="s">
        <v>9</v>
      </c>
      <c r="C20" s="115"/>
      <c r="D20" s="113"/>
      <c r="E20" s="113"/>
      <c r="F20" s="113"/>
      <c r="G20" s="113"/>
      <c r="H20" s="113"/>
    </row>
    <row r="21" spans="1:14" ht="26.25" customHeight="1" x14ac:dyDescent="0.4">
      <c r="A21" s="109" t="s">
        <v>35</v>
      </c>
      <c r="B21" s="115" t="s">
        <v>9</v>
      </c>
      <c r="C21" s="115"/>
      <c r="D21" s="115"/>
      <c r="E21" s="115"/>
      <c r="F21" s="115"/>
      <c r="G21" s="115"/>
      <c r="H21" s="115"/>
      <c r="I21" s="116"/>
    </row>
    <row r="22" spans="1:14" ht="26.25" customHeight="1" x14ac:dyDescent="0.4">
      <c r="A22" s="109" t="s">
        <v>36</v>
      </c>
      <c r="B22" s="117" t="s">
        <v>132</v>
      </c>
      <c r="C22" s="113"/>
      <c r="D22" s="113"/>
      <c r="E22" s="113"/>
      <c r="F22" s="113"/>
      <c r="G22" s="113"/>
      <c r="H22" s="113"/>
    </row>
    <row r="23" spans="1:14" ht="26.25" customHeight="1" x14ac:dyDescent="0.4">
      <c r="A23" s="109" t="s">
        <v>37</v>
      </c>
      <c r="B23" s="117"/>
      <c r="C23" s="113"/>
      <c r="D23" s="113"/>
      <c r="E23" s="113"/>
      <c r="F23" s="113"/>
      <c r="G23" s="113"/>
      <c r="H23" s="113"/>
    </row>
    <row r="24" spans="1:14" ht="18.75" x14ac:dyDescent="0.3">
      <c r="A24" s="109"/>
      <c r="B24" s="118"/>
    </row>
    <row r="25" spans="1:14" ht="18.75" x14ac:dyDescent="0.3">
      <c r="A25" s="119" t="s">
        <v>1</v>
      </c>
      <c r="B25" s="118"/>
    </row>
    <row r="26" spans="1:14" ht="26.25" customHeight="1" x14ac:dyDescent="0.4">
      <c r="A26" s="120" t="s">
        <v>4</v>
      </c>
      <c r="B26" s="110" t="s">
        <v>135</v>
      </c>
      <c r="C26" s="110"/>
    </row>
    <row r="27" spans="1:14" ht="26.25" customHeight="1" x14ac:dyDescent="0.4">
      <c r="A27" s="121" t="s">
        <v>47</v>
      </c>
      <c r="B27" s="122" t="s">
        <v>136</v>
      </c>
      <c r="C27" s="122"/>
    </row>
    <row r="28" spans="1:14" ht="27" customHeight="1" thickBot="1" x14ac:dyDescent="0.45">
      <c r="A28" s="121" t="s">
        <v>6</v>
      </c>
      <c r="B28" s="123">
        <v>99.02</v>
      </c>
    </row>
    <row r="29" spans="1:14" s="68" customFormat="1" ht="27" customHeight="1" thickBot="1" x14ac:dyDescent="0.45">
      <c r="A29" s="121" t="s">
        <v>48</v>
      </c>
      <c r="B29" s="124">
        <v>0</v>
      </c>
      <c r="C29" s="125" t="s">
        <v>49</v>
      </c>
      <c r="D29" s="126"/>
      <c r="E29" s="126"/>
      <c r="F29" s="126"/>
      <c r="G29" s="127"/>
      <c r="I29" s="128"/>
      <c r="J29" s="128"/>
      <c r="K29" s="128"/>
      <c r="L29" s="128"/>
    </row>
    <row r="30" spans="1:14" s="68" customFormat="1" ht="19.5" customHeight="1" thickBot="1" x14ac:dyDescent="0.35">
      <c r="A30" s="121" t="s">
        <v>50</v>
      </c>
      <c r="B30" s="129">
        <f>B28-B29</f>
        <v>99.02</v>
      </c>
      <c r="C30" s="130"/>
      <c r="D30" s="130"/>
      <c r="E30" s="130"/>
      <c r="F30" s="130"/>
      <c r="G30" s="131"/>
      <c r="I30" s="128"/>
      <c r="J30" s="128"/>
      <c r="K30" s="128"/>
      <c r="L30" s="128"/>
    </row>
    <row r="31" spans="1:14" s="68" customFormat="1" ht="27" customHeight="1" thickBot="1" x14ac:dyDescent="0.45">
      <c r="A31" s="121" t="s">
        <v>51</v>
      </c>
      <c r="B31" s="132">
        <v>1</v>
      </c>
      <c r="C31" s="133" t="s">
        <v>52</v>
      </c>
      <c r="D31" s="134"/>
      <c r="E31" s="134"/>
      <c r="F31" s="134"/>
      <c r="G31" s="134"/>
      <c r="H31" s="135"/>
      <c r="I31" s="128"/>
      <c r="J31" s="128"/>
      <c r="K31" s="128"/>
      <c r="L31" s="128"/>
    </row>
    <row r="32" spans="1:14" s="68" customFormat="1" ht="27" customHeight="1" thickBot="1" x14ac:dyDescent="0.45">
      <c r="A32" s="121" t="s">
        <v>53</v>
      </c>
      <c r="B32" s="132">
        <v>1</v>
      </c>
      <c r="C32" s="133" t="s">
        <v>54</v>
      </c>
      <c r="D32" s="134"/>
      <c r="E32" s="134"/>
      <c r="F32" s="134"/>
      <c r="G32" s="134"/>
      <c r="H32" s="135"/>
      <c r="I32" s="128"/>
      <c r="J32" s="128"/>
      <c r="K32" s="128"/>
      <c r="L32" s="136"/>
      <c r="M32" s="136"/>
      <c r="N32" s="137"/>
    </row>
    <row r="33" spans="1:14" s="68" customFormat="1" ht="17.25" customHeight="1" x14ac:dyDescent="0.3">
      <c r="A33" s="121"/>
      <c r="B33" s="138"/>
      <c r="C33" s="139"/>
      <c r="D33" s="139"/>
      <c r="E33" s="139"/>
      <c r="F33" s="139"/>
      <c r="G33" s="139"/>
      <c r="H33" s="139"/>
      <c r="I33" s="128"/>
      <c r="J33" s="128"/>
      <c r="K33" s="128"/>
      <c r="L33" s="136"/>
      <c r="M33" s="136"/>
      <c r="N33" s="137"/>
    </row>
    <row r="34" spans="1:14" s="68" customFormat="1" ht="18.75" x14ac:dyDescent="0.3">
      <c r="A34" s="121" t="s">
        <v>55</v>
      </c>
      <c r="B34" s="140">
        <f>B31/B32</f>
        <v>1</v>
      </c>
      <c r="C34" s="104" t="s">
        <v>56</v>
      </c>
      <c r="D34" s="104"/>
      <c r="E34" s="104"/>
      <c r="F34" s="104"/>
      <c r="G34" s="104"/>
      <c r="I34" s="128"/>
      <c r="J34" s="128"/>
      <c r="K34" s="128"/>
      <c r="L34" s="136"/>
      <c r="M34" s="136"/>
      <c r="N34" s="137"/>
    </row>
    <row r="35" spans="1:14" s="68" customFormat="1" ht="19.5" customHeight="1" thickBot="1" x14ac:dyDescent="0.35">
      <c r="A35" s="121"/>
      <c r="B35" s="129"/>
      <c r="G35" s="104"/>
      <c r="I35" s="128"/>
      <c r="J35" s="128"/>
      <c r="K35" s="128"/>
      <c r="L35" s="136"/>
      <c r="M35" s="136"/>
      <c r="N35" s="137"/>
    </row>
    <row r="36" spans="1:14" s="68" customFormat="1" ht="27" customHeight="1" thickBot="1" x14ac:dyDescent="0.45">
      <c r="A36" s="141" t="s">
        <v>57</v>
      </c>
      <c r="B36" s="142">
        <v>100</v>
      </c>
      <c r="C36" s="104"/>
      <c r="D36" s="143" t="s">
        <v>58</v>
      </c>
      <c r="E36" s="144"/>
      <c r="F36" s="143" t="s">
        <v>59</v>
      </c>
      <c r="G36" s="145"/>
      <c r="J36" s="128"/>
      <c r="K36" s="128"/>
      <c r="L36" s="136"/>
      <c r="M36" s="136"/>
      <c r="N36" s="137"/>
    </row>
    <row r="37" spans="1:14" s="68" customFormat="1" ht="27" customHeight="1" thickBot="1" x14ac:dyDescent="0.45">
      <c r="A37" s="146" t="s">
        <v>60</v>
      </c>
      <c r="B37" s="147">
        <v>1</v>
      </c>
      <c r="C37" s="148" t="s">
        <v>61</v>
      </c>
      <c r="D37" s="149" t="s">
        <v>62</v>
      </c>
      <c r="E37" s="150" t="s">
        <v>63</v>
      </c>
      <c r="F37" s="149" t="s">
        <v>62</v>
      </c>
      <c r="G37" s="151" t="s">
        <v>63</v>
      </c>
      <c r="I37" s="152" t="s">
        <v>64</v>
      </c>
      <c r="J37" s="128"/>
      <c r="K37" s="128"/>
      <c r="L37" s="136"/>
      <c r="M37" s="136"/>
      <c r="N37" s="137"/>
    </row>
    <row r="38" spans="1:14" s="68" customFormat="1" ht="26.25" customHeight="1" x14ac:dyDescent="0.4">
      <c r="A38" s="146" t="s">
        <v>65</v>
      </c>
      <c r="B38" s="147">
        <v>1</v>
      </c>
      <c r="C38" s="153">
        <v>1</v>
      </c>
      <c r="D38" s="154">
        <v>39218046</v>
      </c>
      <c r="E38" s="155">
        <f>IF(ISBLANK(D38),"-",$D$48/$D$45*D38)</f>
        <v>38405999.155358881</v>
      </c>
      <c r="F38" s="154">
        <v>37133307</v>
      </c>
      <c r="G38" s="156">
        <f>IF(ISBLANK(F38),"-",$D$48/$F$45*F38)</f>
        <v>38096066.018408984</v>
      </c>
      <c r="I38" s="157"/>
      <c r="J38" s="128"/>
      <c r="K38" s="128"/>
      <c r="L38" s="136"/>
      <c r="M38" s="136"/>
      <c r="N38" s="137"/>
    </row>
    <row r="39" spans="1:14" s="68" customFormat="1" ht="26.25" customHeight="1" x14ac:dyDescent="0.4">
      <c r="A39" s="146" t="s">
        <v>66</v>
      </c>
      <c r="B39" s="147">
        <v>1</v>
      </c>
      <c r="C39" s="158">
        <v>2</v>
      </c>
      <c r="D39" s="159">
        <v>39191442</v>
      </c>
      <c r="E39" s="160">
        <f>IF(ISBLANK(D39),"-",$D$48/$D$45*D39)</f>
        <v>38379946.016415417</v>
      </c>
      <c r="F39" s="159">
        <v>37155501</v>
      </c>
      <c r="G39" s="161">
        <f>IF(ISBLANK(F39),"-",$D$48/$F$45*F39)</f>
        <v>38118835.444498956</v>
      </c>
      <c r="I39" s="162">
        <f>ABS((F43/D43*D42)-F42)/D42</f>
        <v>1.3521544259097712E-2</v>
      </c>
      <c r="J39" s="128"/>
      <c r="K39" s="128"/>
      <c r="L39" s="136"/>
      <c r="M39" s="136"/>
      <c r="N39" s="137"/>
    </row>
    <row r="40" spans="1:14" ht="26.25" customHeight="1" x14ac:dyDescent="0.4">
      <c r="A40" s="146" t="s">
        <v>67</v>
      </c>
      <c r="B40" s="147">
        <v>1</v>
      </c>
      <c r="C40" s="158">
        <v>3</v>
      </c>
      <c r="D40" s="159">
        <v>39961449</v>
      </c>
      <c r="E40" s="160">
        <f>IF(ISBLANK(D40),"-",$D$48/$D$45*D40)</f>
        <v>39134009.291052312</v>
      </c>
      <c r="F40" s="159">
        <v>37101074</v>
      </c>
      <c r="G40" s="161">
        <f>IF(ISBLANK(F40),"-",$D$48/$F$45*F40)</f>
        <v>38062997.31014739</v>
      </c>
      <c r="I40" s="162"/>
      <c r="L40" s="136"/>
      <c r="M40" s="136"/>
      <c r="N40" s="104"/>
    </row>
    <row r="41" spans="1:14" ht="27" customHeight="1" thickBot="1" x14ac:dyDescent="0.45">
      <c r="A41" s="146" t="s">
        <v>68</v>
      </c>
      <c r="B41" s="147">
        <v>1</v>
      </c>
      <c r="C41" s="163">
        <v>4</v>
      </c>
      <c r="D41" s="164"/>
      <c r="E41" s="165" t="str">
        <f>IF(ISBLANK(D41),"-",$D$48/$D$45*D41)</f>
        <v>-</v>
      </c>
      <c r="F41" s="164"/>
      <c r="G41" s="166" t="str">
        <f>IF(ISBLANK(F41),"-",$D$48/$F$45*F41)</f>
        <v>-</v>
      </c>
      <c r="I41" s="167"/>
      <c r="L41" s="136"/>
      <c r="M41" s="136"/>
      <c r="N41" s="104"/>
    </row>
    <row r="42" spans="1:14" ht="27" customHeight="1" thickBot="1" x14ac:dyDescent="0.45">
      <c r="A42" s="146" t="s">
        <v>69</v>
      </c>
      <c r="B42" s="147">
        <v>1</v>
      </c>
      <c r="C42" s="168" t="s">
        <v>70</v>
      </c>
      <c r="D42" s="169">
        <f>AVERAGE(D38:D41)</f>
        <v>39456979</v>
      </c>
      <c r="E42" s="170">
        <f>AVERAGE(E38:E41)</f>
        <v>38639984.820942201</v>
      </c>
      <c r="F42" s="169">
        <f>AVERAGE(F38:F41)</f>
        <v>37129960.666666664</v>
      </c>
      <c r="G42" s="171">
        <f>AVERAGE(G38:G41)</f>
        <v>38092632.924351774</v>
      </c>
      <c r="H42" s="92"/>
    </row>
    <row r="43" spans="1:14" ht="26.25" customHeight="1" x14ac:dyDescent="0.4">
      <c r="A43" s="146" t="s">
        <v>71</v>
      </c>
      <c r="B43" s="147">
        <v>1</v>
      </c>
      <c r="C43" s="172" t="s">
        <v>72</v>
      </c>
      <c r="D43" s="173">
        <v>16.5</v>
      </c>
      <c r="E43" s="104"/>
      <c r="F43" s="173">
        <v>15.75</v>
      </c>
      <c r="H43" s="92"/>
    </row>
    <row r="44" spans="1:14" ht="26.25" customHeight="1" x14ac:dyDescent="0.4">
      <c r="A44" s="146" t="s">
        <v>73</v>
      </c>
      <c r="B44" s="147">
        <v>1</v>
      </c>
      <c r="C44" s="174" t="s">
        <v>74</v>
      </c>
      <c r="D44" s="175">
        <f>D43*$B$34</f>
        <v>16.5</v>
      </c>
      <c r="E44" s="176"/>
      <c r="F44" s="175">
        <f>F43*$B$34</f>
        <v>15.75</v>
      </c>
      <c r="H44" s="92"/>
    </row>
    <row r="45" spans="1:14" ht="19.5" customHeight="1" thickBot="1" x14ac:dyDescent="0.35">
      <c r="A45" s="146" t="s">
        <v>75</v>
      </c>
      <c r="B45" s="158">
        <f>(B44/B43)*(B42/B41)*(B40/B39)*(B38/B37)*B36</f>
        <v>100</v>
      </c>
      <c r="C45" s="174" t="s">
        <v>76</v>
      </c>
      <c r="D45" s="177">
        <f>D44*$B$30/100</f>
        <v>16.3383</v>
      </c>
      <c r="E45" s="178"/>
      <c r="F45" s="177">
        <f>F44*$B$30/100</f>
        <v>15.595649999999999</v>
      </c>
      <c r="H45" s="92"/>
    </row>
    <row r="46" spans="1:14" ht="19.5" customHeight="1" thickBot="1" x14ac:dyDescent="0.35">
      <c r="A46" s="179" t="s">
        <v>77</v>
      </c>
      <c r="B46" s="180"/>
      <c r="C46" s="174" t="s">
        <v>78</v>
      </c>
      <c r="D46" s="181">
        <f>D45/$B$45</f>
        <v>0.163383</v>
      </c>
      <c r="E46" s="182"/>
      <c r="F46" s="183">
        <f>F45/$B$45</f>
        <v>0.1559565</v>
      </c>
      <c r="H46" s="92"/>
    </row>
    <row r="47" spans="1:14" ht="27" customHeight="1" thickBot="1" x14ac:dyDescent="0.45">
      <c r="A47" s="184"/>
      <c r="B47" s="185"/>
      <c r="C47" s="186" t="s">
        <v>79</v>
      </c>
      <c r="D47" s="187">
        <v>0.16</v>
      </c>
      <c r="E47" s="188"/>
      <c r="F47" s="182"/>
      <c r="H47" s="92"/>
    </row>
    <row r="48" spans="1:14" ht="18.75" x14ac:dyDescent="0.3">
      <c r="C48" s="189" t="s">
        <v>80</v>
      </c>
      <c r="D48" s="177">
        <f>D47*$B$45</f>
        <v>16</v>
      </c>
      <c r="F48" s="190"/>
      <c r="H48" s="92"/>
    </row>
    <row r="49" spans="1:12" ht="19.5" customHeight="1" thickBot="1" x14ac:dyDescent="0.35">
      <c r="C49" s="191" t="s">
        <v>81</v>
      </c>
      <c r="D49" s="192">
        <f>D48/B34</f>
        <v>16</v>
      </c>
      <c r="F49" s="190"/>
      <c r="H49" s="92"/>
    </row>
    <row r="50" spans="1:12" ht="18.75" x14ac:dyDescent="0.3">
      <c r="C50" s="141" t="s">
        <v>82</v>
      </c>
      <c r="D50" s="193">
        <f>AVERAGE(E38:E41,G38:G41)</f>
        <v>38366308.872646987</v>
      </c>
      <c r="F50" s="194"/>
      <c r="H50" s="92"/>
    </row>
    <row r="51" spans="1:12" ht="18.75" x14ac:dyDescent="0.3">
      <c r="C51" s="146" t="s">
        <v>83</v>
      </c>
      <c r="D51" s="195">
        <f>STDEV(E38:E41,G38:G41)/D50</f>
        <v>1.0538568227031883E-2</v>
      </c>
      <c r="F51" s="194"/>
      <c r="H51" s="92"/>
    </row>
    <row r="52" spans="1:12" ht="19.5" customHeight="1" thickBot="1" x14ac:dyDescent="0.35">
      <c r="C52" s="196" t="s">
        <v>20</v>
      </c>
      <c r="D52" s="197">
        <f>COUNT(E38:E41,G38:G41)</f>
        <v>6</v>
      </c>
      <c r="F52" s="194"/>
    </row>
    <row r="54" spans="1:12" ht="18.75" x14ac:dyDescent="0.3">
      <c r="A54" s="198" t="s">
        <v>1</v>
      </c>
      <c r="B54" s="199" t="s">
        <v>84</v>
      </c>
    </row>
    <row r="55" spans="1:12" ht="18.75" x14ac:dyDescent="0.3">
      <c r="A55" s="104" t="s">
        <v>85</v>
      </c>
      <c r="B55" s="200" t="str">
        <f>B21</f>
        <v>Sulphamethoxazole 800 mg, Trimethoprim 160 mg</v>
      </c>
    </row>
    <row r="56" spans="1:12" ht="26.25" customHeight="1" x14ac:dyDescent="0.4">
      <c r="A56" s="200" t="s">
        <v>86</v>
      </c>
      <c r="B56" s="201">
        <v>800</v>
      </c>
      <c r="C56" s="104" t="str">
        <f>B20</f>
        <v>Sulphamethoxazole 800 mg, Trimethoprim 160 mg</v>
      </c>
      <c r="H56" s="176"/>
    </row>
    <row r="57" spans="1:12" ht="18.75" x14ac:dyDescent="0.3">
      <c r="A57" s="200" t="s">
        <v>87</v>
      </c>
      <c r="B57" s="202">
        <f>Uniformity!C46</f>
        <v>1058.0989999999999</v>
      </c>
      <c r="H57" s="176"/>
    </row>
    <row r="58" spans="1:12" ht="19.5" customHeight="1" thickBot="1" x14ac:dyDescent="0.35">
      <c r="H58" s="176"/>
    </row>
    <row r="59" spans="1:12" s="68" customFormat="1" ht="27" customHeight="1" thickBot="1" x14ac:dyDescent="0.45">
      <c r="A59" s="141" t="s">
        <v>88</v>
      </c>
      <c r="B59" s="142">
        <v>100</v>
      </c>
      <c r="C59" s="104"/>
      <c r="D59" s="203" t="s">
        <v>89</v>
      </c>
      <c r="E59" s="204" t="s">
        <v>61</v>
      </c>
      <c r="F59" s="204" t="s">
        <v>62</v>
      </c>
      <c r="G59" s="204" t="s">
        <v>90</v>
      </c>
      <c r="H59" s="148" t="s">
        <v>91</v>
      </c>
      <c r="L59" s="128"/>
    </row>
    <row r="60" spans="1:12" s="68" customFormat="1" ht="26.25" customHeight="1" x14ac:dyDescent="0.4">
      <c r="A60" s="146" t="s">
        <v>92</v>
      </c>
      <c r="B60" s="147">
        <v>2</v>
      </c>
      <c r="C60" s="205" t="s">
        <v>93</v>
      </c>
      <c r="D60" s="206">
        <v>1061.8900000000001</v>
      </c>
      <c r="E60" s="207">
        <v>1</v>
      </c>
      <c r="F60" s="208">
        <v>38032293</v>
      </c>
      <c r="G60" s="209">
        <f>IF(ISBLANK(F60),"-",(F60/$D$50*$D$47*$B$68)*($B$57/$D$60))</f>
        <v>790.20405016908364</v>
      </c>
      <c r="H60" s="210">
        <f t="shared" ref="H60:H71" si="0">IF(ISBLANK(F60),"-",(G60/$B$56)*100)</f>
        <v>98.775506271135455</v>
      </c>
      <c r="L60" s="128"/>
    </row>
    <row r="61" spans="1:12" s="68" customFormat="1" ht="26.25" customHeight="1" x14ac:dyDescent="0.4">
      <c r="A61" s="146" t="s">
        <v>94</v>
      </c>
      <c r="B61" s="147">
        <v>100</v>
      </c>
      <c r="C61" s="211"/>
      <c r="D61" s="212"/>
      <c r="E61" s="213">
        <v>2</v>
      </c>
      <c r="F61" s="159">
        <v>38440851</v>
      </c>
      <c r="G61" s="214">
        <f>IF(ISBLANK(F61),"-",(F61/$D$50*$D$47*$B$68)*($B$57/$D$60))</f>
        <v>798.69273599007738</v>
      </c>
      <c r="H61" s="215">
        <f t="shared" si="0"/>
        <v>99.836591998759673</v>
      </c>
      <c r="L61" s="128"/>
    </row>
    <row r="62" spans="1:12" s="68" customFormat="1" ht="26.25" customHeight="1" x14ac:dyDescent="0.4">
      <c r="A62" s="146" t="s">
        <v>95</v>
      </c>
      <c r="B62" s="147">
        <v>1</v>
      </c>
      <c r="C62" s="211"/>
      <c r="D62" s="212"/>
      <c r="E62" s="213">
        <v>3</v>
      </c>
      <c r="F62" s="216">
        <v>38473021</v>
      </c>
      <c r="G62" s="214">
        <f>IF(ISBLANK(F62),"-",(F62/$D$50*$D$47*$B$68)*($B$57/$D$60))</f>
        <v>799.36113808442235</v>
      </c>
      <c r="H62" s="215">
        <f t="shared" si="0"/>
        <v>99.920142260552794</v>
      </c>
      <c r="L62" s="128"/>
    </row>
    <row r="63" spans="1:12" ht="27" customHeight="1" thickBot="1" x14ac:dyDescent="0.45">
      <c r="A63" s="146" t="s">
        <v>96</v>
      </c>
      <c r="B63" s="147">
        <v>1</v>
      </c>
      <c r="C63" s="217"/>
      <c r="D63" s="218"/>
      <c r="E63" s="219">
        <v>4</v>
      </c>
      <c r="F63" s="220"/>
      <c r="G63" s="214" t="str">
        <f>IF(ISBLANK(F63),"-",(F63/$D$50*$D$47*$B$68)*($B$57/$D$60))</f>
        <v>-</v>
      </c>
      <c r="H63" s="215" t="str">
        <f t="shared" si="0"/>
        <v>-</v>
      </c>
    </row>
    <row r="64" spans="1:12" ht="26.25" customHeight="1" x14ac:dyDescent="0.4">
      <c r="A64" s="146" t="s">
        <v>97</v>
      </c>
      <c r="B64" s="147">
        <v>1</v>
      </c>
      <c r="C64" s="205" t="s">
        <v>98</v>
      </c>
      <c r="D64" s="206">
        <v>1060.47</v>
      </c>
      <c r="E64" s="207">
        <v>1</v>
      </c>
      <c r="F64" s="208">
        <v>36979492</v>
      </c>
      <c r="G64" s="209">
        <f>IF(ISBLANK(F64),"-",(F64/$D$50*$D$47*$B$68)*($B$57/$D$64))</f>
        <v>769.35862312578877</v>
      </c>
      <c r="H64" s="210">
        <f t="shared" si="0"/>
        <v>96.169827890723596</v>
      </c>
    </row>
    <row r="65" spans="1:8" ht="26.25" customHeight="1" x14ac:dyDescent="0.4">
      <c r="A65" s="146" t="s">
        <v>99</v>
      </c>
      <c r="B65" s="147">
        <v>1</v>
      </c>
      <c r="C65" s="211"/>
      <c r="D65" s="212"/>
      <c r="E65" s="213">
        <v>2</v>
      </c>
      <c r="F65" s="159">
        <v>37297702</v>
      </c>
      <c r="G65" s="214">
        <f>IF(ISBLANK(F65),"-",(F65/$D$50*$D$47*$B$68)*($B$57/$D$64))</f>
        <v>775.97898468902633</v>
      </c>
      <c r="H65" s="215">
        <f t="shared" si="0"/>
        <v>96.997373086128292</v>
      </c>
    </row>
    <row r="66" spans="1:8" ht="26.25" customHeight="1" x14ac:dyDescent="0.4">
      <c r="A66" s="146" t="s">
        <v>100</v>
      </c>
      <c r="B66" s="147">
        <v>1</v>
      </c>
      <c r="C66" s="211"/>
      <c r="D66" s="212"/>
      <c r="E66" s="213">
        <v>3</v>
      </c>
      <c r="F66" s="159">
        <v>37018135</v>
      </c>
      <c r="G66" s="214">
        <f>IF(ISBLANK(F66),"-",(F66/$D$50*$D$47*$B$68)*($B$57/$D$64))</f>
        <v>770.16259104599283</v>
      </c>
      <c r="H66" s="215">
        <f t="shared" si="0"/>
        <v>96.270323880749103</v>
      </c>
    </row>
    <row r="67" spans="1:8" ht="27" customHeight="1" thickBot="1" x14ac:dyDescent="0.45">
      <c r="A67" s="146" t="s">
        <v>101</v>
      </c>
      <c r="B67" s="147">
        <v>1</v>
      </c>
      <c r="C67" s="217"/>
      <c r="D67" s="218"/>
      <c r="E67" s="219">
        <v>4</v>
      </c>
      <c r="F67" s="220"/>
      <c r="G67" s="221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46" t="s">
        <v>102</v>
      </c>
      <c r="B68" s="223">
        <f>(B67/B66)*(B65/B64)*(B63/B62)*(B61/B60)*B59</f>
        <v>5000</v>
      </c>
      <c r="C68" s="205" t="s">
        <v>103</v>
      </c>
      <c r="D68" s="206">
        <v>1067.25</v>
      </c>
      <c r="E68" s="207">
        <v>1</v>
      </c>
      <c r="F68" s="208">
        <v>37251480</v>
      </c>
      <c r="G68" s="209">
        <f>IF(ISBLANK(F68),"-",(F68/$D$50*$D$47*$B$68)*($B$57/$D$68))</f>
        <v>770.09382421976022</v>
      </c>
      <c r="H68" s="215">
        <f t="shared" si="0"/>
        <v>96.261728027470028</v>
      </c>
    </row>
    <row r="69" spans="1:8" ht="27" customHeight="1" thickBot="1" x14ac:dyDescent="0.45">
      <c r="A69" s="196" t="s">
        <v>104</v>
      </c>
      <c r="B69" s="224">
        <f>(D47*B68)/B56*B57</f>
        <v>1058.0989999999999</v>
      </c>
      <c r="C69" s="211"/>
      <c r="D69" s="212"/>
      <c r="E69" s="213">
        <v>2</v>
      </c>
      <c r="F69" s="159">
        <v>37644330</v>
      </c>
      <c r="G69" s="214">
        <f>IF(ISBLANK(F69),"-",(F69/$D$50*$D$47*$B$68)*($B$57/$D$68))</f>
        <v>778.2151487643082</v>
      </c>
      <c r="H69" s="215">
        <f t="shared" si="0"/>
        <v>97.276893595538525</v>
      </c>
    </row>
    <row r="70" spans="1:8" ht="26.25" customHeight="1" x14ac:dyDescent="0.4">
      <c r="A70" s="225" t="s">
        <v>77</v>
      </c>
      <c r="B70" s="226"/>
      <c r="C70" s="211"/>
      <c r="D70" s="212"/>
      <c r="E70" s="213">
        <v>3</v>
      </c>
      <c r="F70" s="159">
        <v>37900297</v>
      </c>
      <c r="G70" s="214">
        <f>IF(ISBLANK(F70),"-",(F70/$D$50*$D$47*$B$68)*($B$57/$D$68))</f>
        <v>783.50671317742831</v>
      </c>
      <c r="H70" s="215">
        <f t="shared" si="0"/>
        <v>97.938339147178539</v>
      </c>
    </row>
    <row r="71" spans="1:8" ht="27" customHeight="1" thickBot="1" x14ac:dyDescent="0.45">
      <c r="A71" s="227"/>
      <c r="B71" s="228"/>
      <c r="C71" s="229"/>
      <c r="D71" s="218"/>
      <c r="E71" s="219">
        <v>4</v>
      </c>
      <c r="F71" s="220"/>
      <c r="G71" s="221" t="str">
        <f>IF(ISBLANK(F71),"-",(F71/$D$50*$D$47*$B$68)*($B$57/$D$68))</f>
        <v>-</v>
      </c>
      <c r="H71" s="222" t="str">
        <f t="shared" si="0"/>
        <v>-</v>
      </c>
    </row>
    <row r="72" spans="1:8" ht="26.25" customHeight="1" x14ac:dyDescent="0.4">
      <c r="A72" s="176"/>
      <c r="B72" s="176"/>
      <c r="C72" s="176"/>
      <c r="D72" s="176"/>
      <c r="E72" s="176"/>
      <c r="F72" s="230" t="s">
        <v>70</v>
      </c>
      <c r="G72" s="231">
        <f>AVERAGE(G60:G71)</f>
        <v>781.73042325176516</v>
      </c>
      <c r="H72" s="232">
        <f>AVERAGE(H60:H71)</f>
        <v>97.716302906470645</v>
      </c>
    </row>
    <row r="73" spans="1:8" ht="26.25" customHeight="1" x14ac:dyDescent="0.4">
      <c r="C73" s="176"/>
      <c r="D73" s="176"/>
      <c r="E73" s="176"/>
      <c r="F73" s="233" t="s">
        <v>83</v>
      </c>
      <c r="G73" s="234">
        <f>STDEV(G60:G71)/G72</f>
        <v>1.527871983788163E-2</v>
      </c>
      <c r="H73" s="234">
        <f>STDEV(H60:H71)/H72</f>
        <v>1.527871983788163E-2</v>
      </c>
    </row>
    <row r="74" spans="1:8" ht="27" customHeight="1" thickBot="1" x14ac:dyDescent="0.45">
      <c r="A74" s="176"/>
      <c r="B74" s="176"/>
      <c r="C74" s="176"/>
      <c r="D74" s="176"/>
      <c r="E74" s="178"/>
      <c r="F74" s="235" t="s">
        <v>20</v>
      </c>
      <c r="G74" s="236">
        <f>COUNT(G60:G71)</f>
        <v>9</v>
      </c>
      <c r="H74" s="236">
        <f>COUNT(H60:H71)</f>
        <v>9</v>
      </c>
    </row>
    <row r="76" spans="1:8" ht="26.25" customHeight="1" x14ac:dyDescent="0.4">
      <c r="A76" s="120" t="s">
        <v>105</v>
      </c>
      <c r="B76" s="121" t="s">
        <v>106</v>
      </c>
      <c r="C76" s="237" t="str">
        <f>B26</f>
        <v>sulfamethoxazole</v>
      </c>
      <c r="D76" s="237"/>
      <c r="E76" s="104" t="s">
        <v>107</v>
      </c>
      <c r="F76" s="104"/>
      <c r="G76" s="238">
        <f>H72</f>
        <v>97.716302906470645</v>
      </c>
      <c r="H76" s="129"/>
    </row>
    <row r="77" spans="1:8" ht="18.75" x14ac:dyDescent="0.3">
      <c r="A77" s="119" t="s">
        <v>108</v>
      </c>
      <c r="B77" s="119" t="s">
        <v>109</v>
      </c>
    </row>
    <row r="78" spans="1:8" ht="18.75" x14ac:dyDescent="0.3">
      <c r="A78" s="119"/>
      <c r="B78" s="119"/>
    </row>
    <row r="79" spans="1:8" ht="26.25" customHeight="1" x14ac:dyDescent="0.4">
      <c r="A79" s="120" t="s">
        <v>4</v>
      </c>
      <c r="B79" s="239" t="str">
        <f>B26</f>
        <v>sulfamethoxazole</v>
      </c>
      <c r="C79" s="239"/>
    </row>
    <row r="80" spans="1:8" ht="26.25" customHeight="1" x14ac:dyDescent="0.4">
      <c r="A80" s="121" t="s">
        <v>47</v>
      </c>
      <c r="B80" s="239" t="s">
        <v>136</v>
      </c>
      <c r="C80" s="239"/>
    </row>
    <row r="81" spans="1:12" ht="27" customHeight="1" thickBot="1" x14ac:dyDescent="0.45">
      <c r="A81" s="121" t="s">
        <v>6</v>
      </c>
      <c r="B81" s="123">
        <f>B28</f>
        <v>99.02</v>
      </c>
    </row>
    <row r="82" spans="1:12" s="68" customFormat="1" ht="27" customHeight="1" thickBot="1" x14ac:dyDescent="0.45">
      <c r="A82" s="121" t="s">
        <v>48</v>
      </c>
      <c r="B82" s="124">
        <v>0</v>
      </c>
      <c r="C82" s="125" t="s">
        <v>49</v>
      </c>
      <c r="D82" s="126"/>
      <c r="E82" s="126"/>
      <c r="F82" s="126"/>
      <c r="G82" s="127"/>
      <c r="I82" s="128"/>
      <c r="J82" s="128"/>
      <c r="K82" s="128"/>
      <c r="L82" s="128"/>
    </row>
    <row r="83" spans="1:12" s="68" customFormat="1" ht="19.5" customHeight="1" thickBot="1" x14ac:dyDescent="0.35">
      <c r="A83" s="121" t="s">
        <v>50</v>
      </c>
      <c r="B83" s="129">
        <f>B81-B82</f>
        <v>99.02</v>
      </c>
      <c r="C83" s="130"/>
      <c r="D83" s="130"/>
      <c r="E83" s="130"/>
      <c r="F83" s="130"/>
      <c r="G83" s="131"/>
      <c r="I83" s="128"/>
      <c r="J83" s="128"/>
      <c r="K83" s="128"/>
      <c r="L83" s="128"/>
    </row>
    <row r="84" spans="1:12" s="68" customFormat="1" ht="27" customHeight="1" thickBot="1" x14ac:dyDescent="0.45">
      <c r="A84" s="121" t="s">
        <v>51</v>
      </c>
      <c r="B84" s="132">
        <v>1</v>
      </c>
      <c r="C84" s="133" t="s">
        <v>110</v>
      </c>
      <c r="D84" s="134"/>
      <c r="E84" s="134"/>
      <c r="F84" s="134"/>
      <c r="G84" s="134"/>
      <c r="H84" s="135"/>
      <c r="I84" s="128"/>
      <c r="J84" s="128"/>
      <c r="K84" s="128"/>
      <c r="L84" s="128"/>
    </row>
    <row r="85" spans="1:12" s="68" customFormat="1" ht="27" customHeight="1" thickBot="1" x14ac:dyDescent="0.45">
      <c r="A85" s="121" t="s">
        <v>53</v>
      </c>
      <c r="B85" s="132">
        <v>1</v>
      </c>
      <c r="C85" s="133" t="s">
        <v>111</v>
      </c>
      <c r="D85" s="134"/>
      <c r="E85" s="134"/>
      <c r="F85" s="134"/>
      <c r="G85" s="134"/>
      <c r="H85" s="135"/>
      <c r="I85" s="128"/>
      <c r="J85" s="128"/>
      <c r="K85" s="128"/>
      <c r="L85" s="128"/>
    </row>
    <row r="86" spans="1:12" s="68" customFormat="1" ht="18.75" x14ac:dyDescent="0.3">
      <c r="A86" s="121"/>
      <c r="B86" s="138"/>
      <c r="C86" s="139"/>
      <c r="D86" s="139"/>
      <c r="E86" s="139"/>
      <c r="F86" s="139"/>
      <c r="G86" s="139"/>
      <c r="H86" s="139"/>
      <c r="I86" s="128"/>
      <c r="J86" s="128"/>
      <c r="K86" s="128"/>
      <c r="L86" s="128"/>
    </row>
    <row r="87" spans="1:12" s="68" customFormat="1" ht="18.75" x14ac:dyDescent="0.3">
      <c r="A87" s="121" t="s">
        <v>55</v>
      </c>
      <c r="B87" s="140">
        <f>B84/B85</f>
        <v>1</v>
      </c>
      <c r="C87" s="104" t="s">
        <v>56</v>
      </c>
      <c r="D87" s="104"/>
      <c r="E87" s="104"/>
      <c r="F87" s="104"/>
      <c r="G87" s="104"/>
      <c r="I87" s="128"/>
      <c r="J87" s="128"/>
      <c r="K87" s="128"/>
      <c r="L87" s="128"/>
    </row>
    <row r="88" spans="1:12" ht="19.5" customHeight="1" thickBot="1" x14ac:dyDescent="0.35">
      <c r="A88" s="119"/>
      <c r="B88" s="119"/>
    </row>
    <row r="89" spans="1:12" ht="27" customHeight="1" thickBot="1" x14ac:dyDescent="0.45">
      <c r="A89" s="141" t="s">
        <v>57</v>
      </c>
      <c r="B89" s="142">
        <v>100</v>
      </c>
      <c r="D89" s="240" t="s">
        <v>58</v>
      </c>
      <c r="E89" s="241"/>
      <c r="F89" s="143" t="s">
        <v>59</v>
      </c>
      <c r="G89" s="145"/>
    </row>
    <row r="90" spans="1:12" ht="27" customHeight="1" thickBot="1" x14ac:dyDescent="0.45">
      <c r="A90" s="146" t="s">
        <v>60</v>
      </c>
      <c r="B90" s="147">
        <v>1</v>
      </c>
      <c r="C90" s="242" t="s">
        <v>61</v>
      </c>
      <c r="D90" s="149" t="s">
        <v>62</v>
      </c>
      <c r="E90" s="150" t="s">
        <v>63</v>
      </c>
      <c r="F90" s="149" t="s">
        <v>62</v>
      </c>
      <c r="G90" s="243" t="s">
        <v>63</v>
      </c>
      <c r="I90" s="152" t="s">
        <v>64</v>
      </c>
    </row>
    <row r="91" spans="1:12" ht="26.25" customHeight="1" x14ac:dyDescent="0.4">
      <c r="A91" s="146" t="s">
        <v>65</v>
      </c>
      <c r="B91" s="147">
        <v>1</v>
      </c>
      <c r="C91" s="244">
        <v>1</v>
      </c>
      <c r="D91" s="154">
        <v>39218046</v>
      </c>
      <c r="E91" s="155">
        <f>IF(ISBLANK(D91),"-",$D$101/$D$98*D91)</f>
        <v>42673332.394843206</v>
      </c>
      <c r="F91" s="154">
        <v>37133307</v>
      </c>
      <c r="G91" s="156">
        <f>IF(ISBLANK(F91),"-",$D$101/$F$98*F91)</f>
        <v>42328962.242676653</v>
      </c>
      <c r="I91" s="157"/>
    </row>
    <row r="92" spans="1:12" ht="26.25" customHeight="1" x14ac:dyDescent="0.4">
      <c r="A92" s="146" t="s">
        <v>66</v>
      </c>
      <c r="B92" s="147">
        <v>1</v>
      </c>
      <c r="C92" s="176">
        <v>2</v>
      </c>
      <c r="D92" s="159">
        <v>39191442</v>
      </c>
      <c r="E92" s="160">
        <f>IF(ISBLANK(D92),"-",$D$101/$D$98*D92)</f>
        <v>42644384.462683797</v>
      </c>
      <c r="F92" s="159">
        <v>37155501</v>
      </c>
      <c r="G92" s="161">
        <f>IF(ISBLANK(F92),"-",$D$101/$F$98*F92)</f>
        <v>42354261.604998834</v>
      </c>
      <c r="I92" s="162">
        <f>ABS((F96/D96*D95)-F95)/D95</f>
        <v>1.3521544259097712E-2</v>
      </c>
    </row>
    <row r="93" spans="1:12" ht="26.25" customHeight="1" x14ac:dyDescent="0.4">
      <c r="A93" s="146" t="s">
        <v>67</v>
      </c>
      <c r="B93" s="147">
        <v>1</v>
      </c>
      <c r="C93" s="176">
        <v>3</v>
      </c>
      <c r="D93" s="159">
        <v>39961449</v>
      </c>
      <c r="E93" s="160">
        <f>IF(ISBLANK(D93),"-",$D$101/$D$98*D93)</f>
        <v>43482232.545613684</v>
      </c>
      <c r="F93" s="159">
        <v>37101074</v>
      </c>
      <c r="G93" s="161">
        <f>IF(ISBLANK(F93),"-",$D$101/$F$98*F93)</f>
        <v>42292219.233497098</v>
      </c>
      <c r="I93" s="162"/>
    </row>
    <row r="94" spans="1:12" ht="27" customHeight="1" thickBot="1" x14ac:dyDescent="0.45">
      <c r="A94" s="146" t="s">
        <v>68</v>
      </c>
      <c r="B94" s="147">
        <v>1</v>
      </c>
      <c r="C94" s="245">
        <v>4</v>
      </c>
      <c r="D94" s="164"/>
      <c r="E94" s="165" t="str">
        <f>IF(ISBLANK(D94),"-",$D$101/$D$98*D94)</f>
        <v>-</v>
      </c>
      <c r="F94" s="246"/>
      <c r="G94" s="166" t="str">
        <f>IF(ISBLANK(F94),"-",$D$101/$F$98*F94)</f>
        <v>-</v>
      </c>
      <c r="I94" s="167"/>
    </row>
    <row r="95" spans="1:12" ht="27" customHeight="1" thickBot="1" x14ac:dyDescent="0.45">
      <c r="A95" s="146" t="s">
        <v>69</v>
      </c>
      <c r="B95" s="147">
        <v>1</v>
      </c>
      <c r="C95" s="121" t="s">
        <v>70</v>
      </c>
      <c r="D95" s="247">
        <f>AVERAGE(D91:D94)</f>
        <v>39456979</v>
      </c>
      <c r="E95" s="170">
        <f>AVERAGE(E91:E94)</f>
        <v>42933316.467713565</v>
      </c>
      <c r="F95" s="248">
        <f>AVERAGE(F91:F94)</f>
        <v>37129960.666666664</v>
      </c>
      <c r="G95" s="249">
        <f>AVERAGE(G91:G94)</f>
        <v>42325147.693724193</v>
      </c>
    </row>
    <row r="96" spans="1:12" ht="26.25" customHeight="1" x14ac:dyDescent="0.4">
      <c r="A96" s="146" t="s">
        <v>71</v>
      </c>
      <c r="B96" s="123">
        <v>1</v>
      </c>
      <c r="C96" s="250" t="s">
        <v>112</v>
      </c>
      <c r="D96" s="251">
        <v>16.5</v>
      </c>
      <c r="E96" s="104"/>
      <c r="F96" s="173">
        <v>15.75</v>
      </c>
    </row>
    <row r="97" spans="1:10" ht="26.25" customHeight="1" x14ac:dyDescent="0.4">
      <c r="A97" s="146" t="s">
        <v>73</v>
      </c>
      <c r="B97" s="123">
        <v>1</v>
      </c>
      <c r="C97" s="252" t="s">
        <v>113</v>
      </c>
      <c r="D97" s="253">
        <f>D96*$B$87</f>
        <v>16.5</v>
      </c>
      <c r="E97" s="176"/>
      <c r="F97" s="175">
        <f>F96*$B$87</f>
        <v>15.75</v>
      </c>
    </row>
    <row r="98" spans="1:10" ht="19.5" customHeight="1" thickBot="1" x14ac:dyDescent="0.35">
      <c r="A98" s="146" t="s">
        <v>75</v>
      </c>
      <c r="B98" s="176">
        <f>(B97/B96)*(B95/B94)*(B93/B92)*(B91/B90)*B89</f>
        <v>100</v>
      </c>
      <c r="C98" s="252" t="s">
        <v>114</v>
      </c>
      <c r="D98" s="254">
        <f>D97*$B$83/100</f>
        <v>16.3383</v>
      </c>
      <c r="E98" s="178"/>
      <c r="F98" s="177">
        <f>F97*$B$83/100</f>
        <v>15.595649999999999</v>
      </c>
    </row>
    <row r="99" spans="1:10" ht="19.5" customHeight="1" thickBot="1" x14ac:dyDescent="0.35">
      <c r="A99" s="179" t="s">
        <v>77</v>
      </c>
      <c r="B99" s="255"/>
      <c r="C99" s="252" t="s">
        <v>115</v>
      </c>
      <c r="D99" s="256">
        <f>D98/$B$98</f>
        <v>0.163383</v>
      </c>
      <c r="E99" s="178"/>
      <c r="F99" s="183">
        <f>F98/$B$98</f>
        <v>0.1559565</v>
      </c>
      <c r="H99" s="92"/>
    </row>
    <row r="100" spans="1:10" ht="19.5" customHeight="1" thickBot="1" x14ac:dyDescent="0.35">
      <c r="A100" s="184"/>
      <c r="B100" s="257"/>
      <c r="C100" s="252" t="s">
        <v>79</v>
      </c>
      <c r="D100" s="258">
        <f>$B$56/$B$116</f>
        <v>0.17777777777777778</v>
      </c>
      <c r="F100" s="190"/>
      <c r="G100" s="259"/>
      <c r="H100" s="92"/>
    </row>
    <row r="101" spans="1:10" ht="18.75" x14ac:dyDescent="0.3">
      <c r="C101" s="252" t="s">
        <v>80</v>
      </c>
      <c r="D101" s="253">
        <f>D100*$B$98</f>
        <v>17.777777777777779</v>
      </c>
      <c r="F101" s="190"/>
      <c r="H101" s="92"/>
    </row>
    <row r="102" spans="1:10" ht="19.5" customHeight="1" thickBot="1" x14ac:dyDescent="0.35">
      <c r="C102" s="260" t="s">
        <v>81</v>
      </c>
      <c r="D102" s="261">
        <f>D101/B34</f>
        <v>17.777777777777779</v>
      </c>
      <c r="F102" s="194"/>
      <c r="H102" s="92"/>
      <c r="J102" s="262"/>
    </row>
    <row r="103" spans="1:10" ht="18.75" x14ac:dyDescent="0.3">
      <c r="C103" s="263" t="s">
        <v>116</v>
      </c>
      <c r="D103" s="264">
        <f>AVERAGE(E91:E94,G91:G94)</f>
        <v>42629232.080718875</v>
      </c>
      <c r="F103" s="194"/>
      <c r="G103" s="259"/>
      <c r="H103" s="92"/>
      <c r="J103" s="265"/>
    </row>
    <row r="104" spans="1:10" ht="18.75" x14ac:dyDescent="0.3">
      <c r="C104" s="233" t="s">
        <v>83</v>
      </c>
      <c r="D104" s="266">
        <f>STDEV(E91:E94,G91:G94)/D103</f>
        <v>1.0538568227031931E-2</v>
      </c>
      <c r="F104" s="194"/>
      <c r="H104" s="92"/>
      <c r="J104" s="265"/>
    </row>
    <row r="105" spans="1:10" ht="19.5" customHeight="1" thickBot="1" x14ac:dyDescent="0.35">
      <c r="C105" s="235" t="s">
        <v>20</v>
      </c>
      <c r="D105" s="267">
        <f>COUNT(E91:E94,G91:G94)</f>
        <v>6</v>
      </c>
      <c r="F105" s="194"/>
      <c r="H105" s="92"/>
      <c r="J105" s="265"/>
    </row>
    <row r="106" spans="1:10" ht="19.5" customHeight="1" thickBot="1" x14ac:dyDescent="0.35">
      <c r="A106" s="198"/>
      <c r="B106" s="198"/>
      <c r="C106" s="198"/>
      <c r="D106" s="198"/>
      <c r="E106" s="198"/>
    </row>
    <row r="107" spans="1:10" ht="27" customHeight="1" thickBot="1" x14ac:dyDescent="0.45">
      <c r="A107" s="141" t="s">
        <v>117</v>
      </c>
      <c r="B107" s="142">
        <v>900</v>
      </c>
      <c r="C107" s="204" t="s">
        <v>118</v>
      </c>
      <c r="D107" s="204" t="s">
        <v>62</v>
      </c>
      <c r="E107" s="204" t="s">
        <v>119</v>
      </c>
      <c r="F107" s="268" t="s">
        <v>120</v>
      </c>
    </row>
    <row r="108" spans="1:10" ht="26.25" customHeight="1" x14ac:dyDescent="0.4">
      <c r="A108" s="146" t="s">
        <v>121</v>
      </c>
      <c r="B108" s="147">
        <v>10</v>
      </c>
      <c r="C108" s="207">
        <v>1</v>
      </c>
      <c r="D108" s="269">
        <v>38288072</v>
      </c>
      <c r="E108" s="270">
        <f t="shared" ref="E108:E113" si="1">IF(ISBLANK(D108),"-",D108/$D$103*$D$100*$B$116)</f>
        <v>718.53177045274765</v>
      </c>
      <c r="F108" s="271">
        <f t="shared" ref="F108:F113" si="2">IF(ISBLANK(D108), "-", (E108/$B$56)*100)</f>
        <v>89.816471306593456</v>
      </c>
    </row>
    <row r="109" spans="1:10" ht="26.25" customHeight="1" x14ac:dyDescent="0.4">
      <c r="A109" s="146" t="s">
        <v>94</v>
      </c>
      <c r="B109" s="147">
        <v>50</v>
      </c>
      <c r="C109" s="213">
        <v>2</v>
      </c>
      <c r="D109" s="272">
        <v>38284877</v>
      </c>
      <c r="E109" s="273">
        <f t="shared" si="1"/>
        <v>718.47181159645959</v>
      </c>
      <c r="F109" s="274">
        <f t="shared" si="2"/>
        <v>89.808976449557449</v>
      </c>
    </row>
    <row r="110" spans="1:10" ht="26.25" customHeight="1" x14ac:dyDescent="0.4">
      <c r="A110" s="146" t="s">
        <v>95</v>
      </c>
      <c r="B110" s="147">
        <v>1</v>
      </c>
      <c r="C110" s="213">
        <v>3</v>
      </c>
      <c r="D110" s="272">
        <v>38383898</v>
      </c>
      <c r="E110" s="273">
        <f t="shared" si="1"/>
        <v>720.33008574622602</v>
      </c>
      <c r="F110" s="274">
        <f t="shared" si="2"/>
        <v>90.041260718278252</v>
      </c>
    </row>
    <row r="111" spans="1:10" ht="26.25" customHeight="1" x14ac:dyDescent="0.4">
      <c r="A111" s="146" t="s">
        <v>96</v>
      </c>
      <c r="B111" s="147">
        <v>1</v>
      </c>
      <c r="C111" s="213">
        <v>4</v>
      </c>
      <c r="D111" s="272">
        <v>38419805</v>
      </c>
      <c r="E111" s="273">
        <f t="shared" si="1"/>
        <v>721.00393321187153</v>
      </c>
      <c r="F111" s="274">
        <f t="shared" si="2"/>
        <v>90.125491651483941</v>
      </c>
    </row>
    <row r="112" spans="1:10" ht="26.25" customHeight="1" x14ac:dyDescent="0.4">
      <c r="A112" s="146" t="s">
        <v>97</v>
      </c>
      <c r="B112" s="147">
        <v>1</v>
      </c>
      <c r="C112" s="213">
        <v>5</v>
      </c>
      <c r="D112" s="272">
        <v>38479407</v>
      </c>
      <c r="E112" s="273">
        <f t="shared" si="1"/>
        <v>722.12245207023875</v>
      </c>
      <c r="F112" s="274">
        <f t="shared" si="2"/>
        <v>90.265306508779844</v>
      </c>
    </row>
    <row r="113" spans="1:10" ht="27" customHeight="1" thickBot="1" x14ac:dyDescent="0.45">
      <c r="A113" s="146" t="s">
        <v>99</v>
      </c>
      <c r="B113" s="147">
        <v>1</v>
      </c>
      <c r="C113" s="219">
        <v>6</v>
      </c>
      <c r="D113" s="275">
        <v>38663141</v>
      </c>
      <c r="E113" s="276">
        <f t="shared" si="1"/>
        <v>725.57048978580633</v>
      </c>
      <c r="F113" s="277">
        <f t="shared" si="2"/>
        <v>90.696311223225791</v>
      </c>
    </row>
    <row r="114" spans="1:10" ht="27" customHeight="1" thickBot="1" x14ac:dyDescent="0.45">
      <c r="A114" s="146" t="s">
        <v>100</v>
      </c>
      <c r="B114" s="147">
        <v>1</v>
      </c>
      <c r="C114" s="278"/>
      <c r="D114" s="176"/>
      <c r="E114" s="104"/>
      <c r="F114" s="274"/>
    </row>
    <row r="115" spans="1:10" ht="26.25" customHeight="1" x14ac:dyDescent="0.4">
      <c r="A115" s="146" t="s">
        <v>101</v>
      </c>
      <c r="B115" s="147">
        <v>1</v>
      </c>
      <c r="C115" s="278"/>
      <c r="D115" s="279" t="s">
        <v>70</v>
      </c>
      <c r="E115" s="280">
        <f>AVERAGE(E108:E113)</f>
        <v>721.00509047722483</v>
      </c>
      <c r="F115" s="281">
        <f>AVERAGE(F108:F113)</f>
        <v>90.125636309653103</v>
      </c>
    </row>
    <row r="116" spans="1:10" ht="27" customHeight="1" thickBot="1" x14ac:dyDescent="0.45">
      <c r="A116" s="146" t="s">
        <v>102</v>
      </c>
      <c r="B116" s="158">
        <f>(B115/B114)*(B113/B112)*(B111/B110)*(B109/B108)*B107</f>
        <v>4500</v>
      </c>
      <c r="C116" s="282"/>
      <c r="D116" s="283" t="s">
        <v>83</v>
      </c>
      <c r="E116" s="234">
        <f>STDEV(E108:E113)/E115</f>
        <v>3.6738184406905727E-3</v>
      </c>
      <c r="F116" s="284">
        <f>STDEV(F108:F113)/F115</f>
        <v>3.6738184406905727E-3</v>
      </c>
      <c r="I116" s="104"/>
    </row>
    <row r="117" spans="1:10" ht="27" customHeight="1" thickBot="1" x14ac:dyDescent="0.45">
      <c r="A117" s="179" t="s">
        <v>77</v>
      </c>
      <c r="B117" s="180"/>
      <c r="C117" s="285"/>
      <c r="D117" s="235" t="s">
        <v>20</v>
      </c>
      <c r="E117" s="286">
        <f>COUNT(E108:E113)</f>
        <v>6</v>
      </c>
      <c r="F117" s="287">
        <f>COUNT(F108:F113)</f>
        <v>6</v>
      </c>
      <c r="I117" s="104"/>
      <c r="J117" s="265"/>
    </row>
    <row r="118" spans="1:10" ht="26.25" customHeight="1" thickBot="1" x14ac:dyDescent="0.35">
      <c r="A118" s="184"/>
      <c r="B118" s="185"/>
      <c r="C118" s="104"/>
      <c r="D118" s="288"/>
      <c r="E118" s="289" t="s">
        <v>122</v>
      </c>
      <c r="F118" s="290"/>
      <c r="G118" s="104"/>
      <c r="H118" s="104"/>
      <c r="I118" s="104"/>
    </row>
    <row r="119" spans="1:10" ht="25.5" customHeight="1" x14ac:dyDescent="0.4">
      <c r="A119" s="291"/>
      <c r="B119" s="139"/>
      <c r="C119" s="104"/>
      <c r="D119" s="283" t="s">
        <v>123</v>
      </c>
      <c r="E119" s="292">
        <f>MIN(E108:E113)</f>
        <v>718.47181159645959</v>
      </c>
      <c r="F119" s="293">
        <f>MIN(F108:F113)</f>
        <v>89.808976449557449</v>
      </c>
      <c r="G119" s="104"/>
      <c r="H119" s="104"/>
      <c r="I119" s="104"/>
    </row>
    <row r="120" spans="1:10" ht="24" customHeight="1" thickBot="1" x14ac:dyDescent="0.45">
      <c r="A120" s="291"/>
      <c r="B120" s="139"/>
      <c r="C120" s="104"/>
      <c r="D120" s="191" t="s">
        <v>124</v>
      </c>
      <c r="E120" s="294">
        <f>MAX(E108:E113)</f>
        <v>725.57048978580633</v>
      </c>
      <c r="F120" s="295">
        <f>MAX(F108:F113)</f>
        <v>90.696311223225791</v>
      </c>
      <c r="G120" s="104"/>
      <c r="H120" s="104"/>
      <c r="I120" s="104"/>
    </row>
    <row r="121" spans="1:10" ht="27" customHeight="1" x14ac:dyDescent="0.3">
      <c r="A121" s="291"/>
      <c r="B121" s="139"/>
      <c r="C121" s="104"/>
      <c r="D121" s="104"/>
      <c r="E121" s="104"/>
      <c r="F121" s="176"/>
      <c r="G121" s="104"/>
      <c r="H121" s="104"/>
      <c r="I121" s="104"/>
    </row>
    <row r="122" spans="1:10" ht="25.5" customHeight="1" x14ac:dyDescent="0.3">
      <c r="A122" s="291"/>
      <c r="B122" s="139"/>
      <c r="C122" s="104"/>
      <c r="D122" s="104"/>
      <c r="E122" s="104"/>
      <c r="F122" s="176"/>
      <c r="G122" s="104"/>
      <c r="H122" s="104"/>
      <c r="I122" s="104"/>
    </row>
    <row r="123" spans="1:10" ht="18.75" x14ac:dyDescent="0.3">
      <c r="A123" s="291"/>
      <c r="B123" s="139"/>
      <c r="C123" s="104"/>
      <c r="D123" s="104"/>
      <c r="E123" s="104"/>
      <c r="F123" s="176"/>
      <c r="G123" s="104"/>
      <c r="H123" s="104"/>
      <c r="I123" s="104"/>
    </row>
    <row r="124" spans="1:10" ht="45.75" customHeight="1" x14ac:dyDescent="0.65">
      <c r="A124" s="120" t="s">
        <v>105</v>
      </c>
      <c r="B124" s="121" t="s">
        <v>125</v>
      </c>
      <c r="C124" s="237" t="str">
        <f>B26</f>
        <v>sulfamethoxazole</v>
      </c>
      <c r="D124" s="237"/>
      <c r="E124" s="104" t="s">
        <v>126</v>
      </c>
      <c r="F124" s="104"/>
      <c r="G124" s="296">
        <f>F115</f>
        <v>90.125636309653103</v>
      </c>
      <c r="H124" s="104"/>
      <c r="I124" s="104"/>
    </row>
    <row r="125" spans="1:10" ht="45.75" customHeight="1" x14ac:dyDescent="0.65">
      <c r="A125" s="120"/>
      <c r="B125" s="121" t="s">
        <v>127</v>
      </c>
      <c r="C125" s="121" t="s">
        <v>128</v>
      </c>
      <c r="D125" s="296">
        <f>MIN(F108:F113)</f>
        <v>89.808976449557449</v>
      </c>
      <c r="E125" s="121" t="s">
        <v>129</v>
      </c>
      <c r="F125" s="296">
        <f>MAX(F108:F113)</f>
        <v>90.696311223225791</v>
      </c>
      <c r="G125" s="238"/>
      <c r="H125" s="104"/>
      <c r="I125" s="104"/>
    </row>
    <row r="126" spans="1:10" ht="19.5" customHeight="1" thickBot="1" x14ac:dyDescent="0.35">
      <c r="A126" s="297"/>
      <c r="B126" s="297"/>
      <c r="C126" s="298"/>
      <c r="D126" s="298"/>
      <c r="E126" s="298"/>
      <c r="F126" s="298"/>
      <c r="G126" s="298"/>
      <c r="H126" s="298"/>
    </row>
    <row r="127" spans="1:10" ht="18.75" x14ac:dyDescent="0.3">
      <c r="B127" s="299" t="s">
        <v>25</v>
      </c>
      <c r="C127" s="299"/>
      <c r="E127" s="242" t="s">
        <v>26</v>
      </c>
      <c r="F127" s="300"/>
      <c r="G127" s="299" t="s">
        <v>27</v>
      </c>
      <c r="H127" s="299"/>
    </row>
    <row r="128" spans="1:10" ht="69.95" customHeight="1" x14ac:dyDescent="0.3">
      <c r="A128" s="120" t="s">
        <v>28</v>
      </c>
      <c r="B128" s="301"/>
      <c r="C128" s="301"/>
      <c r="E128" s="301"/>
      <c r="F128" s="104"/>
      <c r="G128" s="301"/>
      <c r="H128" s="301"/>
    </row>
    <row r="129" spans="1:9" ht="69.95" customHeight="1" x14ac:dyDescent="0.3">
      <c r="A129" s="120" t="s">
        <v>29</v>
      </c>
      <c r="B129" s="302"/>
      <c r="C129" s="302"/>
      <c r="E129" s="302"/>
      <c r="F129" s="104"/>
      <c r="G129" s="303"/>
      <c r="H129" s="303"/>
    </row>
    <row r="130" spans="1:9" ht="18.75" x14ac:dyDescent="0.3">
      <c r="A130" s="176"/>
      <c r="B130" s="176"/>
      <c r="C130" s="176"/>
      <c r="D130" s="176"/>
      <c r="E130" s="176"/>
      <c r="F130" s="178"/>
      <c r="G130" s="176"/>
      <c r="H130" s="176"/>
      <c r="I130" s="104"/>
    </row>
    <row r="131" spans="1:9" ht="18.75" x14ac:dyDescent="0.3">
      <c r="A131" s="176"/>
      <c r="B131" s="176"/>
      <c r="C131" s="176"/>
      <c r="D131" s="176"/>
      <c r="E131" s="176"/>
      <c r="F131" s="178"/>
      <c r="G131" s="176"/>
      <c r="H131" s="176"/>
      <c r="I131" s="104"/>
    </row>
    <row r="132" spans="1:9" ht="18.75" x14ac:dyDescent="0.3">
      <c r="A132" s="176"/>
      <c r="B132" s="176"/>
      <c r="C132" s="176"/>
      <c r="D132" s="176"/>
      <c r="E132" s="176"/>
      <c r="F132" s="178"/>
      <c r="G132" s="176"/>
      <c r="H132" s="176"/>
      <c r="I132" s="104"/>
    </row>
    <row r="133" spans="1:9" ht="18.75" x14ac:dyDescent="0.3">
      <c r="A133" s="176"/>
      <c r="B133" s="176"/>
      <c r="C133" s="176"/>
      <c r="D133" s="176"/>
      <c r="E133" s="176"/>
      <c r="F133" s="178"/>
      <c r="G133" s="176"/>
      <c r="H133" s="176"/>
      <c r="I133" s="104"/>
    </row>
    <row r="134" spans="1:9" ht="18.75" x14ac:dyDescent="0.3">
      <c r="A134" s="176"/>
      <c r="B134" s="176"/>
      <c r="C134" s="176"/>
      <c r="D134" s="176"/>
      <c r="E134" s="176"/>
      <c r="F134" s="178"/>
      <c r="G134" s="176"/>
      <c r="H134" s="176"/>
      <c r="I134" s="104"/>
    </row>
    <row r="135" spans="1:9" ht="18.75" x14ac:dyDescent="0.3">
      <c r="A135" s="176"/>
      <c r="B135" s="176"/>
      <c r="C135" s="176"/>
      <c r="D135" s="176"/>
      <c r="E135" s="176"/>
      <c r="F135" s="178"/>
      <c r="G135" s="176"/>
      <c r="H135" s="176"/>
      <c r="I135" s="104"/>
    </row>
    <row r="136" spans="1:9" ht="18.75" x14ac:dyDescent="0.3">
      <c r="A136" s="176"/>
      <c r="B136" s="176"/>
      <c r="C136" s="176"/>
      <c r="D136" s="176"/>
      <c r="E136" s="176"/>
      <c r="F136" s="178"/>
      <c r="G136" s="176"/>
      <c r="H136" s="176"/>
      <c r="I136" s="104"/>
    </row>
    <row r="137" spans="1:9" ht="18.75" x14ac:dyDescent="0.3">
      <c r="A137" s="176"/>
      <c r="B137" s="176"/>
      <c r="C137" s="176"/>
      <c r="D137" s="176"/>
      <c r="E137" s="176"/>
      <c r="F137" s="178"/>
      <c r="G137" s="176"/>
      <c r="H137" s="176"/>
      <c r="I137" s="104"/>
    </row>
    <row r="138" spans="1:9" ht="18.75" x14ac:dyDescent="0.3">
      <c r="A138" s="176"/>
      <c r="B138" s="176"/>
      <c r="C138" s="176"/>
      <c r="D138" s="176"/>
      <c r="E138" s="176"/>
      <c r="F138" s="178"/>
      <c r="G138" s="176"/>
      <c r="H138" s="176"/>
      <c r="I138" s="104"/>
    </row>
    <row r="250" spans="1:1" x14ac:dyDescent="0.25">
      <c r="A250" s="57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5" workbookViewId="0">
      <selection activeCell="C54" sqref="C54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94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5" ht="16.5" customHeight="1" x14ac:dyDescent="0.3">
      <c r="A17" s="62" t="s">
        <v>3</v>
      </c>
      <c r="B17" s="62" t="s">
        <v>130</v>
      </c>
      <c r="D17" s="63"/>
      <c r="E17" s="64"/>
    </row>
    <row r="18" spans="1:5" ht="16.5" customHeight="1" x14ac:dyDescent="0.3">
      <c r="A18" s="65" t="s">
        <v>4</v>
      </c>
      <c r="B18" s="62" t="s">
        <v>133</v>
      </c>
      <c r="C18" s="64"/>
      <c r="D18" s="64"/>
      <c r="E18" s="64"/>
    </row>
    <row r="19" spans="1:5" ht="16.5" customHeight="1" x14ac:dyDescent="0.3">
      <c r="A19" s="65" t="s">
        <v>6</v>
      </c>
      <c r="B19" s="66">
        <v>99.02</v>
      </c>
      <c r="C19" s="64"/>
      <c r="D19" s="64"/>
      <c r="E19" s="64"/>
    </row>
    <row r="20" spans="1:5" ht="16.5" customHeight="1" x14ac:dyDescent="0.3">
      <c r="A20" s="62" t="s">
        <v>8</v>
      </c>
      <c r="B20" s="66">
        <v>16.5</v>
      </c>
      <c r="C20" s="64"/>
      <c r="D20" s="64"/>
      <c r="E20" s="64"/>
    </row>
    <row r="21" spans="1:5" ht="16.5" customHeight="1" x14ac:dyDescent="0.3">
      <c r="A21" s="62" t="s">
        <v>10</v>
      </c>
      <c r="B21" s="67">
        <f>B20/100</f>
        <v>0.16500000000000001</v>
      </c>
      <c r="C21" s="64"/>
      <c r="D21" s="64"/>
      <c r="E21" s="64"/>
    </row>
    <row r="22" spans="1:5" ht="15.75" customHeight="1" x14ac:dyDescent="0.25">
      <c r="A22" s="64"/>
      <c r="B22" s="64" t="s">
        <v>132</v>
      </c>
      <c r="C22" s="64"/>
      <c r="D22" s="64"/>
      <c r="E22" s="64"/>
    </row>
    <row r="23" spans="1:5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8" t="s">
        <v>17</v>
      </c>
    </row>
    <row r="24" spans="1:5" ht="16.5" customHeight="1" x14ac:dyDescent="0.3">
      <c r="A24" s="70">
        <v>1</v>
      </c>
      <c r="B24" s="71">
        <v>39170467</v>
      </c>
      <c r="C24" s="71">
        <v>7160</v>
      </c>
      <c r="D24" s="72">
        <v>1.1000000000000001</v>
      </c>
      <c r="E24" s="73">
        <v>10</v>
      </c>
    </row>
    <row r="25" spans="1:5" ht="16.5" customHeight="1" x14ac:dyDescent="0.3">
      <c r="A25" s="70">
        <v>2</v>
      </c>
      <c r="B25" s="71">
        <v>39029641</v>
      </c>
      <c r="C25" s="71">
        <v>7089.6</v>
      </c>
      <c r="D25" s="72">
        <v>1.1000000000000001</v>
      </c>
      <c r="E25" s="72">
        <v>10</v>
      </c>
    </row>
    <row r="26" spans="1:5" ht="16.5" customHeight="1" x14ac:dyDescent="0.3">
      <c r="A26" s="70">
        <v>3</v>
      </c>
      <c r="B26" s="71">
        <v>39033788</v>
      </c>
      <c r="C26" s="71">
        <v>7091</v>
      </c>
      <c r="D26" s="72">
        <v>1.1000000000000001</v>
      </c>
      <c r="E26" s="72">
        <v>10</v>
      </c>
    </row>
    <row r="27" spans="1:5" ht="16.5" customHeight="1" x14ac:dyDescent="0.3">
      <c r="A27" s="70">
        <v>4</v>
      </c>
      <c r="B27" s="71">
        <v>38994254</v>
      </c>
      <c r="C27" s="71">
        <v>7021.4</v>
      </c>
      <c r="D27" s="72">
        <v>1.1000000000000001</v>
      </c>
      <c r="E27" s="72">
        <v>10</v>
      </c>
    </row>
    <row r="28" spans="1:5" ht="16.5" customHeight="1" x14ac:dyDescent="0.3">
      <c r="A28" s="70">
        <v>5</v>
      </c>
      <c r="B28" s="71">
        <v>38478943</v>
      </c>
      <c r="C28" s="71">
        <v>7047.4</v>
      </c>
      <c r="D28" s="72">
        <v>1.1000000000000001</v>
      </c>
      <c r="E28" s="72">
        <v>10</v>
      </c>
    </row>
    <row r="29" spans="1:5" ht="16.5" customHeight="1" x14ac:dyDescent="0.3">
      <c r="A29" s="70">
        <v>6</v>
      </c>
      <c r="B29" s="74">
        <v>38412583</v>
      </c>
      <c r="C29" s="74">
        <v>7158.7</v>
      </c>
      <c r="D29" s="75">
        <v>1.1000000000000001</v>
      </c>
      <c r="E29" s="75">
        <v>10</v>
      </c>
    </row>
    <row r="30" spans="1:5" ht="16.5" customHeight="1" x14ac:dyDescent="0.3">
      <c r="A30" s="76" t="s">
        <v>18</v>
      </c>
      <c r="B30" s="77">
        <f>AVERAGE(B24:B29)</f>
        <v>38853279.333333336</v>
      </c>
      <c r="C30" s="78">
        <f>AVERAGE(C24:C29)</f>
        <v>7094.6833333333334</v>
      </c>
      <c r="D30" s="79">
        <f>AVERAGE(D24:D29)</f>
        <v>1.0999999999999999</v>
      </c>
      <c r="E30" s="79">
        <f>AVERAGE(E24:E29)</f>
        <v>10</v>
      </c>
    </row>
    <row r="31" spans="1:5" ht="16.5" customHeight="1" x14ac:dyDescent="0.3">
      <c r="A31" s="80" t="s">
        <v>19</v>
      </c>
      <c r="B31" s="81">
        <f>(STDEV(B24:B29)/B30)</f>
        <v>8.2883051836509306E-3</v>
      </c>
      <c r="C31" s="82"/>
      <c r="D31" s="82"/>
      <c r="E31" s="83"/>
    </row>
    <row r="32" spans="1:5" s="57" customFormat="1" ht="16.5" customHeight="1" x14ac:dyDescent="0.3">
      <c r="A32" s="84" t="s">
        <v>20</v>
      </c>
      <c r="B32" s="85">
        <f>COUNT(B24:B29)</f>
        <v>6</v>
      </c>
      <c r="C32" s="86"/>
      <c r="D32" s="87"/>
      <c r="E32" s="88"/>
    </row>
    <row r="33" spans="1:5" s="57" customFormat="1" ht="15.75" customHeight="1" x14ac:dyDescent="0.25">
      <c r="A33" s="64"/>
      <c r="B33" s="64"/>
      <c r="C33" s="64"/>
      <c r="D33" s="64"/>
      <c r="E33" s="64"/>
    </row>
    <row r="34" spans="1:5" s="57" customFormat="1" ht="16.5" customHeight="1" x14ac:dyDescent="0.3">
      <c r="A34" s="65" t="s">
        <v>21</v>
      </c>
      <c r="B34" s="89" t="s">
        <v>22</v>
      </c>
      <c r="C34" s="90"/>
      <c r="D34" s="90"/>
      <c r="E34" s="90"/>
    </row>
    <row r="35" spans="1:5" ht="16.5" customHeight="1" x14ac:dyDescent="0.3">
      <c r="A35" s="65"/>
      <c r="B35" s="89" t="s">
        <v>23</v>
      </c>
      <c r="C35" s="90"/>
      <c r="D35" s="90"/>
      <c r="E35" s="90"/>
    </row>
    <row r="36" spans="1:5" ht="16.5" customHeight="1" x14ac:dyDescent="0.3">
      <c r="A36" s="65"/>
      <c r="B36" s="89" t="s">
        <v>24</v>
      </c>
      <c r="C36" s="90"/>
      <c r="D36" s="90"/>
      <c r="E36" s="90"/>
    </row>
    <row r="37" spans="1:5" ht="15.75" customHeight="1" x14ac:dyDescent="0.25">
      <c r="A37" s="64"/>
      <c r="B37" s="64"/>
      <c r="C37" s="64"/>
      <c r="D37" s="64"/>
      <c r="E37" s="64"/>
    </row>
    <row r="38" spans="1:5" ht="16.5" customHeight="1" x14ac:dyDescent="0.3">
      <c r="A38" s="60" t="s">
        <v>1</v>
      </c>
      <c r="B38" s="61" t="s">
        <v>2</v>
      </c>
    </row>
    <row r="39" spans="1:5" ht="16.5" customHeight="1" x14ac:dyDescent="0.3">
      <c r="A39" s="65" t="s">
        <v>4</v>
      </c>
      <c r="B39" s="62" t="s">
        <v>133</v>
      </c>
      <c r="C39" s="64"/>
      <c r="D39" s="64"/>
      <c r="E39" s="64"/>
    </row>
    <row r="40" spans="1:5" ht="16.5" customHeight="1" x14ac:dyDescent="0.3">
      <c r="A40" s="65" t="s">
        <v>6</v>
      </c>
      <c r="B40" s="66">
        <v>99.02</v>
      </c>
      <c r="C40" s="64"/>
      <c r="D40" s="64"/>
      <c r="E40" s="64"/>
    </row>
    <row r="41" spans="1:5" ht="16.5" customHeight="1" x14ac:dyDescent="0.3">
      <c r="A41" s="62" t="s">
        <v>8</v>
      </c>
      <c r="B41" s="66">
        <v>16.5</v>
      </c>
      <c r="C41" s="64"/>
      <c r="D41" s="64"/>
      <c r="E41" s="64"/>
    </row>
    <row r="42" spans="1:5" ht="16.5" customHeight="1" x14ac:dyDescent="0.3">
      <c r="A42" s="62" t="s">
        <v>10</v>
      </c>
      <c r="B42" s="67">
        <f>B41/100</f>
        <v>0.16500000000000001</v>
      </c>
      <c r="C42" s="64"/>
      <c r="D42" s="64"/>
      <c r="E42" s="64"/>
    </row>
    <row r="43" spans="1:5" ht="15.75" customHeight="1" x14ac:dyDescent="0.25">
      <c r="A43" s="64"/>
      <c r="B43" s="64"/>
      <c r="C43" s="64"/>
      <c r="D43" s="64"/>
      <c r="E43" s="64"/>
    </row>
    <row r="44" spans="1:5" ht="16.5" customHeight="1" x14ac:dyDescent="0.3">
      <c r="A44" s="68" t="s">
        <v>13</v>
      </c>
      <c r="B44" s="69" t="s">
        <v>14</v>
      </c>
      <c r="C44" s="68" t="s">
        <v>15</v>
      </c>
      <c r="D44" s="68" t="s">
        <v>16</v>
      </c>
      <c r="E44" s="68" t="s">
        <v>17</v>
      </c>
    </row>
    <row r="45" spans="1:5" ht="16.5" customHeight="1" x14ac:dyDescent="0.3">
      <c r="A45" s="70">
        <v>1</v>
      </c>
      <c r="B45" s="71">
        <v>39170467</v>
      </c>
      <c r="C45" s="71">
        <v>7160</v>
      </c>
      <c r="D45" s="72">
        <v>1.1000000000000001</v>
      </c>
      <c r="E45" s="73">
        <v>10</v>
      </c>
    </row>
    <row r="46" spans="1:5" ht="16.5" customHeight="1" x14ac:dyDescent="0.3">
      <c r="A46" s="70">
        <v>2</v>
      </c>
      <c r="B46" s="71">
        <v>39029641</v>
      </c>
      <c r="C46" s="71">
        <v>7089.6</v>
      </c>
      <c r="D46" s="72">
        <v>1.1000000000000001</v>
      </c>
      <c r="E46" s="72">
        <v>10</v>
      </c>
    </row>
    <row r="47" spans="1:5" ht="16.5" customHeight="1" x14ac:dyDescent="0.3">
      <c r="A47" s="70">
        <v>3</v>
      </c>
      <c r="B47" s="71">
        <v>39033788</v>
      </c>
      <c r="C47" s="71">
        <v>7091</v>
      </c>
      <c r="D47" s="72">
        <v>1.1000000000000001</v>
      </c>
      <c r="E47" s="72">
        <v>10</v>
      </c>
    </row>
    <row r="48" spans="1:5" ht="16.5" customHeight="1" x14ac:dyDescent="0.3">
      <c r="A48" s="70">
        <v>4</v>
      </c>
      <c r="B48" s="71">
        <v>38994254</v>
      </c>
      <c r="C48" s="71">
        <v>7021.4</v>
      </c>
      <c r="D48" s="72">
        <v>1.1000000000000001</v>
      </c>
      <c r="E48" s="72">
        <v>10</v>
      </c>
    </row>
    <row r="49" spans="1:7" ht="16.5" customHeight="1" x14ac:dyDescent="0.3">
      <c r="A49" s="70">
        <v>5</v>
      </c>
      <c r="B49" s="71">
        <v>38478943</v>
      </c>
      <c r="C49" s="71">
        <v>7047.4</v>
      </c>
      <c r="D49" s="72">
        <v>1.1000000000000001</v>
      </c>
      <c r="E49" s="72">
        <v>10</v>
      </c>
    </row>
    <row r="50" spans="1:7" ht="16.5" customHeight="1" x14ac:dyDescent="0.3">
      <c r="A50" s="70">
        <v>6</v>
      </c>
      <c r="B50" s="74">
        <v>38412583</v>
      </c>
      <c r="C50" s="74">
        <v>7158.7</v>
      </c>
      <c r="D50" s="75">
        <v>1.1000000000000001</v>
      </c>
      <c r="E50" s="75">
        <v>10</v>
      </c>
    </row>
    <row r="51" spans="1:7" ht="16.5" customHeight="1" x14ac:dyDescent="0.3">
      <c r="A51" s="76" t="s">
        <v>18</v>
      </c>
      <c r="B51" s="77">
        <f>AVERAGE(B45:B50)</f>
        <v>38853279.333333336</v>
      </c>
      <c r="C51" s="78">
        <f>AVERAGE(C45:C50)</f>
        <v>7094.6833333333334</v>
      </c>
      <c r="D51" s="79">
        <f>AVERAGE(D45:D50)</f>
        <v>1.0999999999999999</v>
      </c>
      <c r="E51" s="79">
        <f>AVERAGE(E45:E50)</f>
        <v>10</v>
      </c>
    </row>
    <row r="52" spans="1:7" ht="16.5" customHeight="1" x14ac:dyDescent="0.3">
      <c r="A52" s="80" t="s">
        <v>19</v>
      </c>
      <c r="B52" s="81">
        <f>(STDEV(B45:B50)/B51)</f>
        <v>8.2883051836509306E-3</v>
      </c>
      <c r="C52" s="82"/>
      <c r="D52" s="82"/>
      <c r="E52" s="83"/>
    </row>
    <row r="53" spans="1:7" s="57" customFormat="1" ht="16.5" customHeight="1" x14ac:dyDescent="0.3">
      <c r="A53" s="84" t="s">
        <v>20</v>
      </c>
      <c r="B53" s="85">
        <f>COUNT(B45:B50)</f>
        <v>6</v>
      </c>
      <c r="C53" s="86"/>
      <c r="D53" s="87"/>
      <c r="E53" s="88"/>
    </row>
    <row r="54" spans="1:7" s="57" customFormat="1" ht="15.75" customHeight="1" x14ac:dyDescent="0.25">
      <c r="A54" s="64"/>
      <c r="B54" s="64"/>
      <c r="C54" s="64"/>
      <c r="D54" s="64"/>
      <c r="E54" s="64"/>
    </row>
    <row r="55" spans="1:7" s="57" customFormat="1" ht="16.5" customHeight="1" x14ac:dyDescent="0.3">
      <c r="A55" s="65" t="s">
        <v>21</v>
      </c>
      <c r="B55" s="89" t="s">
        <v>22</v>
      </c>
      <c r="C55" s="90"/>
      <c r="D55" s="90"/>
      <c r="E55" s="90"/>
    </row>
    <row r="56" spans="1:7" ht="16.5" customHeight="1" x14ac:dyDescent="0.3">
      <c r="A56" s="65"/>
      <c r="B56" s="89" t="s">
        <v>23</v>
      </c>
      <c r="C56" s="90"/>
      <c r="D56" s="90"/>
      <c r="E56" s="90"/>
    </row>
    <row r="57" spans="1:7" ht="16.5" customHeight="1" x14ac:dyDescent="0.3">
      <c r="A57" s="65"/>
      <c r="B57" s="89" t="s">
        <v>24</v>
      </c>
      <c r="C57" s="90"/>
      <c r="D57" s="90"/>
      <c r="E57" s="90"/>
    </row>
    <row r="58" spans="1:7" ht="14.25" customHeight="1" thickBot="1" x14ac:dyDescent="0.3">
      <c r="A58" s="91"/>
      <c r="B58" s="92"/>
      <c r="D58" s="93"/>
      <c r="F58" s="94"/>
      <c r="G58" s="94"/>
    </row>
    <row r="59" spans="1:7" ht="15" customHeight="1" x14ac:dyDescent="0.3">
      <c r="B59" s="95" t="s">
        <v>25</v>
      </c>
      <c r="C59" s="95"/>
      <c r="E59" s="96" t="s">
        <v>26</v>
      </c>
      <c r="F59" s="97"/>
      <c r="G59" s="96" t="s">
        <v>27</v>
      </c>
    </row>
    <row r="60" spans="1:7" ht="15" customHeight="1" x14ac:dyDescent="0.3">
      <c r="A60" s="98" t="s">
        <v>28</v>
      </c>
      <c r="B60" s="99"/>
      <c r="C60" s="99"/>
      <c r="E60" s="99"/>
      <c r="G60" s="99"/>
    </row>
    <row r="61" spans="1:7" ht="15" customHeight="1" x14ac:dyDescent="0.3">
      <c r="A61" s="98" t="s">
        <v>29</v>
      </c>
      <c r="B61" s="100"/>
      <c r="C61" s="100"/>
      <c r="E61" s="100"/>
      <c r="G61" s="10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5" workbookViewId="0">
      <selection activeCell="C57" sqref="C57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94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5" ht="16.5" customHeight="1" x14ac:dyDescent="0.3">
      <c r="A17" s="62" t="s">
        <v>3</v>
      </c>
      <c r="B17" s="62" t="s">
        <v>130</v>
      </c>
      <c r="D17" s="63"/>
      <c r="E17" s="64"/>
    </row>
    <row r="18" spans="1:5" ht="16.5" customHeight="1" x14ac:dyDescent="0.3">
      <c r="A18" s="65" t="s">
        <v>4</v>
      </c>
      <c r="B18" s="62" t="s">
        <v>131</v>
      </c>
      <c r="C18" s="64"/>
      <c r="D18" s="64"/>
      <c r="E18" s="64"/>
    </row>
    <row r="19" spans="1:5" ht="16.5" customHeight="1" x14ac:dyDescent="0.3">
      <c r="A19" s="65" t="s">
        <v>6</v>
      </c>
      <c r="B19" s="66">
        <v>99.03</v>
      </c>
      <c r="C19" s="64"/>
      <c r="D19" s="64"/>
      <c r="E19" s="64"/>
    </row>
    <row r="20" spans="1:5" ht="16.5" customHeight="1" x14ac:dyDescent="0.3">
      <c r="A20" s="62" t="s">
        <v>8</v>
      </c>
      <c r="B20" s="66">
        <v>22.01</v>
      </c>
      <c r="C20" s="64"/>
      <c r="D20" s="64"/>
      <c r="E20" s="64"/>
    </row>
    <row r="21" spans="1:5" ht="16.5" customHeight="1" x14ac:dyDescent="0.3">
      <c r="A21" s="62" t="s">
        <v>10</v>
      </c>
      <c r="B21" s="67">
        <f>B20/25*4/100</f>
        <v>3.5216000000000004E-2</v>
      </c>
      <c r="C21" s="64"/>
      <c r="D21" s="64"/>
      <c r="E21" s="64"/>
    </row>
    <row r="22" spans="1:5" ht="15.75" customHeight="1" x14ac:dyDescent="0.25">
      <c r="A22" s="64"/>
      <c r="B22" s="64" t="s">
        <v>132</v>
      </c>
      <c r="C22" s="64"/>
      <c r="D22" s="64"/>
      <c r="E22" s="64"/>
    </row>
    <row r="23" spans="1:5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8" t="s">
        <v>17</v>
      </c>
    </row>
    <row r="24" spans="1:5" ht="16.5" customHeight="1" x14ac:dyDescent="0.3">
      <c r="A24" s="70">
        <v>1</v>
      </c>
      <c r="B24" s="71">
        <v>2667381</v>
      </c>
      <c r="C24" s="71">
        <v>4816.3</v>
      </c>
      <c r="D24" s="72">
        <v>1.5</v>
      </c>
      <c r="E24" s="73">
        <v>5.5</v>
      </c>
    </row>
    <row r="25" spans="1:5" ht="16.5" customHeight="1" x14ac:dyDescent="0.3">
      <c r="A25" s="70">
        <v>2</v>
      </c>
      <c r="B25" s="71">
        <v>2655784</v>
      </c>
      <c r="C25" s="71">
        <v>4757.7</v>
      </c>
      <c r="D25" s="72">
        <v>1.5</v>
      </c>
      <c r="E25" s="72">
        <v>5.5</v>
      </c>
    </row>
    <row r="26" spans="1:5" ht="16.5" customHeight="1" x14ac:dyDescent="0.3">
      <c r="A26" s="70">
        <v>3</v>
      </c>
      <c r="B26" s="71">
        <v>2649866</v>
      </c>
      <c r="C26" s="71">
        <v>4775.1000000000004</v>
      </c>
      <c r="D26" s="72">
        <v>1.5</v>
      </c>
      <c r="E26" s="72">
        <v>5.5</v>
      </c>
    </row>
    <row r="27" spans="1:5" ht="16.5" customHeight="1" x14ac:dyDescent="0.3">
      <c r="A27" s="70">
        <v>4</v>
      </c>
      <c r="B27" s="71">
        <v>2662595</v>
      </c>
      <c r="C27" s="71">
        <v>4774.5</v>
      </c>
      <c r="D27" s="72">
        <v>1.5</v>
      </c>
      <c r="E27" s="72">
        <v>5.5</v>
      </c>
    </row>
    <row r="28" spans="1:5" ht="16.5" customHeight="1" x14ac:dyDescent="0.3">
      <c r="A28" s="70">
        <v>5</v>
      </c>
      <c r="B28" s="71">
        <v>2618843</v>
      </c>
      <c r="C28" s="71">
        <v>4727.8</v>
      </c>
      <c r="D28" s="72">
        <v>1.5</v>
      </c>
      <c r="E28" s="72">
        <v>5.5</v>
      </c>
    </row>
    <row r="29" spans="1:5" ht="16.5" customHeight="1" x14ac:dyDescent="0.3">
      <c r="A29" s="70">
        <v>6</v>
      </c>
      <c r="B29" s="74">
        <v>2609114</v>
      </c>
      <c r="C29" s="74">
        <v>4763</v>
      </c>
      <c r="D29" s="75">
        <v>1.5</v>
      </c>
      <c r="E29" s="75">
        <v>5.5</v>
      </c>
    </row>
    <row r="30" spans="1:5" ht="16.5" customHeight="1" x14ac:dyDescent="0.3">
      <c r="A30" s="76" t="s">
        <v>18</v>
      </c>
      <c r="B30" s="77">
        <f>AVERAGE(B24:B29)</f>
        <v>2643930.5</v>
      </c>
      <c r="C30" s="78">
        <f>AVERAGE(C24:C29)</f>
        <v>4769.0666666666666</v>
      </c>
      <c r="D30" s="79">
        <f>AVERAGE(D24:D29)</f>
        <v>1.5</v>
      </c>
      <c r="E30" s="79">
        <f>AVERAGE(E24:E29)</f>
        <v>5.5</v>
      </c>
    </row>
    <row r="31" spans="1:5" ht="16.5" customHeight="1" x14ac:dyDescent="0.3">
      <c r="A31" s="80" t="s">
        <v>19</v>
      </c>
      <c r="B31" s="81">
        <f>(STDEV(B24:B29)/B30)</f>
        <v>9.1333199189902112E-3</v>
      </c>
      <c r="C31" s="82"/>
      <c r="D31" s="82"/>
      <c r="E31" s="83"/>
    </row>
    <row r="32" spans="1:5" s="57" customFormat="1" ht="16.5" customHeight="1" x14ac:dyDescent="0.3">
      <c r="A32" s="84" t="s">
        <v>20</v>
      </c>
      <c r="B32" s="85">
        <f>COUNT(B24:B29)</f>
        <v>6</v>
      </c>
      <c r="C32" s="86"/>
      <c r="D32" s="87"/>
      <c r="E32" s="88"/>
    </row>
    <row r="33" spans="1:5" s="57" customFormat="1" ht="15.75" customHeight="1" x14ac:dyDescent="0.25">
      <c r="A33" s="64"/>
      <c r="B33" s="64"/>
      <c r="C33" s="64"/>
      <c r="D33" s="64"/>
      <c r="E33" s="64"/>
    </row>
    <row r="34" spans="1:5" s="57" customFormat="1" ht="16.5" customHeight="1" x14ac:dyDescent="0.3">
      <c r="A34" s="65" t="s">
        <v>21</v>
      </c>
      <c r="B34" s="89" t="s">
        <v>22</v>
      </c>
      <c r="C34" s="90"/>
      <c r="D34" s="90"/>
      <c r="E34" s="90"/>
    </row>
    <row r="35" spans="1:5" ht="16.5" customHeight="1" x14ac:dyDescent="0.3">
      <c r="A35" s="65"/>
      <c r="B35" s="89" t="s">
        <v>23</v>
      </c>
      <c r="C35" s="90"/>
      <c r="D35" s="90"/>
      <c r="E35" s="90"/>
    </row>
    <row r="36" spans="1:5" ht="16.5" customHeight="1" x14ac:dyDescent="0.3">
      <c r="A36" s="65"/>
      <c r="B36" s="89" t="s">
        <v>24</v>
      </c>
      <c r="C36" s="90"/>
      <c r="D36" s="90"/>
      <c r="E36" s="90"/>
    </row>
    <row r="37" spans="1:5" ht="15.75" customHeight="1" x14ac:dyDescent="0.25">
      <c r="A37" s="64"/>
      <c r="B37" s="64"/>
      <c r="C37" s="64"/>
      <c r="D37" s="64"/>
      <c r="E37" s="64"/>
    </row>
    <row r="38" spans="1:5" ht="16.5" customHeight="1" x14ac:dyDescent="0.3">
      <c r="A38" s="60" t="s">
        <v>1</v>
      </c>
      <c r="B38" s="61" t="s">
        <v>2</v>
      </c>
    </row>
    <row r="39" spans="1:5" ht="16.5" customHeight="1" x14ac:dyDescent="0.3">
      <c r="A39" s="65" t="s">
        <v>4</v>
      </c>
      <c r="B39" s="62" t="s">
        <v>131</v>
      </c>
      <c r="C39" s="64"/>
      <c r="D39" s="64"/>
      <c r="E39" s="64"/>
    </row>
    <row r="40" spans="1:5" ht="16.5" customHeight="1" x14ac:dyDescent="0.3">
      <c r="A40" s="65" t="s">
        <v>6</v>
      </c>
      <c r="B40" s="66">
        <v>99.03</v>
      </c>
      <c r="C40" s="64"/>
      <c r="D40" s="64"/>
      <c r="E40" s="64"/>
    </row>
    <row r="41" spans="1:5" ht="16.5" customHeight="1" x14ac:dyDescent="0.3">
      <c r="A41" s="62" t="s">
        <v>8</v>
      </c>
      <c r="B41" s="66">
        <v>22.01</v>
      </c>
      <c r="C41" s="64"/>
      <c r="D41" s="64"/>
      <c r="E41" s="64"/>
    </row>
    <row r="42" spans="1:5" ht="16.5" customHeight="1" x14ac:dyDescent="0.3">
      <c r="A42" s="62" t="s">
        <v>10</v>
      </c>
      <c r="B42" s="67">
        <v>3.5216000000000004E-2</v>
      </c>
      <c r="C42" s="64"/>
      <c r="D42" s="64"/>
      <c r="E42" s="64"/>
    </row>
    <row r="43" spans="1:5" ht="15.75" customHeight="1" x14ac:dyDescent="0.25">
      <c r="A43" s="64"/>
      <c r="B43" s="64"/>
      <c r="C43" s="64"/>
      <c r="D43" s="64"/>
      <c r="E43" s="64"/>
    </row>
    <row r="44" spans="1:5" ht="16.5" customHeight="1" x14ac:dyDescent="0.3">
      <c r="A44" s="68" t="s">
        <v>13</v>
      </c>
      <c r="B44" s="69" t="s">
        <v>14</v>
      </c>
      <c r="C44" s="68" t="s">
        <v>15</v>
      </c>
      <c r="D44" s="68" t="s">
        <v>16</v>
      </c>
      <c r="E44" s="68" t="s">
        <v>17</v>
      </c>
    </row>
    <row r="45" spans="1:5" ht="16.5" customHeight="1" x14ac:dyDescent="0.3">
      <c r="A45" s="70">
        <v>1</v>
      </c>
      <c r="B45" s="71">
        <v>2667381</v>
      </c>
      <c r="C45" s="71">
        <v>4816.3</v>
      </c>
      <c r="D45" s="72">
        <v>1.5</v>
      </c>
      <c r="E45" s="73">
        <v>5.5</v>
      </c>
    </row>
    <row r="46" spans="1:5" ht="16.5" customHeight="1" x14ac:dyDescent="0.3">
      <c r="A46" s="70">
        <v>2</v>
      </c>
      <c r="B46" s="71">
        <v>2655784</v>
      </c>
      <c r="C46" s="71">
        <v>4757.7</v>
      </c>
      <c r="D46" s="72">
        <v>1.5</v>
      </c>
      <c r="E46" s="72">
        <v>5.5</v>
      </c>
    </row>
    <row r="47" spans="1:5" ht="16.5" customHeight="1" x14ac:dyDescent="0.3">
      <c r="A47" s="70">
        <v>3</v>
      </c>
      <c r="B47" s="71">
        <v>2649866</v>
      </c>
      <c r="C47" s="71">
        <v>4775.1000000000004</v>
      </c>
      <c r="D47" s="72">
        <v>1.5</v>
      </c>
      <c r="E47" s="72">
        <v>5.5</v>
      </c>
    </row>
    <row r="48" spans="1:5" ht="16.5" customHeight="1" x14ac:dyDescent="0.3">
      <c r="A48" s="70">
        <v>4</v>
      </c>
      <c r="B48" s="71">
        <v>2662595</v>
      </c>
      <c r="C48" s="71">
        <v>4774.5</v>
      </c>
      <c r="D48" s="72">
        <v>1.5</v>
      </c>
      <c r="E48" s="72">
        <v>5.5</v>
      </c>
    </row>
    <row r="49" spans="1:7" ht="16.5" customHeight="1" x14ac:dyDescent="0.3">
      <c r="A49" s="70">
        <v>5</v>
      </c>
      <c r="B49" s="71">
        <v>2618843</v>
      </c>
      <c r="C49" s="71">
        <v>4727.8</v>
      </c>
      <c r="D49" s="72">
        <v>1.5</v>
      </c>
      <c r="E49" s="72">
        <v>5.5</v>
      </c>
    </row>
    <row r="50" spans="1:7" ht="16.5" customHeight="1" x14ac:dyDescent="0.3">
      <c r="A50" s="70">
        <v>6</v>
      </c>
      <c r="B50" s="74">
        <v>2609114</v>
      </c>
      <c r="C50" s="74">
        <v>4763</v>
      </c>
      <c r="D50" s="75">
        <v>1.5</v>
      </c>
      <c r="E50" s="75">
        <v>5.5</v>
      </c>
    </row>
    <row r="51" spans="1:7" ht="16.5" customHeight="1" x14ac:dyDescent="0.3">
      <c r="A51" s="76" t="s">
        <v>18</v>
      </c>
      <c r="B51" s="77">
        <f>AVERAGE(B45:B50)</f>
        <v>2643930.5</v>
      </c>
      <c r="C51" s="78">
        <f>AVERAGE(C45:C50)</f>
        <v>4769.0666666666666</v>
      </c>
      <c r="D51" s="79">
        <f>AVERAGE(D45:D50)</f>
        <v>1.5</v>
      </c>
      <c r="E51" s="79">
        <f>AVERAGE(E45:E50)</f>
        <v>5.5</v>
      </c>
    </row>
    <row r="52" spans="1:7" ht="16.5" customHeight="1" x14ac:dyDescent="0.3">
      <c r="A52" s="80" t="s">
        <v>19</v>
      </c>
      <c r="B52" s="81">
        <f>(STDEV(B45:B50)/B51)</f>
        <v>9.1333199189902112E-3</v>
      </c>
      <c r="C52" s="82"/>
      <c r="D52" s="82"/>
      <c r="E52" s="83"/>
    </row>
    <row r="53" spans="1:7" s="57" customFormat="1" ht="16.5" customHeight="1" x14ac:dyDescent="0.3">
      <c r="A53" s="84" t="s">
        <v>20</v>
      </c>
      <c r="B53" s="85">
        <f>COUNT(B45:B50)</f>
        <v>6</v>
      </c>
      <c r="C53" s="86"/>
      <c r="D53" s="87"/>
      <c r="E53" s="88"/>
    </row>
    <row r="54" spans="1:7" s="57" customFormat="1" ht="15.75" customHeight="1" x14ac:dyDescent="0.25">
      <c r="A54" s="64"/>
      <c r="B54" s="64"/>
      <c r="C54" s="64"/>
      <c r="D54" s="64"/>
      <c r="E54" s="64"/>
    </row>
    <row r="55" spans="1:7" s="57" customFormat="1" ht="16.5" customHeight="1" x14ac:dyDescent="0.3">
      <c r="A55" s="65" t="s">
        <v>21</v>
      </c>
      <c r="B55" s="89" t="s">
        <v>22</v>
      </c>
      <c r="C55" s="90"/>
      <c r="D55" s="90"/>
      <c r="E55" s="90"/>
    </row>
    <row r="56" spans="1:7" ht="16.5" customHeight="1" x14ac:dyDescent="0.3">
      <c r="A56" s="65"/>
      <c r="B56" s="89" t="s">
        <v>23</v>
      </c>
      <c r="C56" s="90"/>
      <c r="D56" s="90"/>
      <c r="E56" s="90"/>
    </row>
    <row r="57" spans="1:7" ht="16.5" customHeight="1" x14ac:dyDescent="0.3">
      <c r="A57" s="65"/>
      <c r="B57" s="89" t="s">
        <v>24</v>
      </c>
      <c r="C57" s="90"/>
      <c r="D57" s="90"/>
      <c r="E57" s="90"/>
    </row>
    <row r="58" spans="1:7" ht="14.25" customHeight="1" thickBot="1" x14ac:dyDescent="0.3">
      <c r="A58" s="91"/>
      <c r="B58" s="92"/>
      <c r="D58" s="93"/>
      <c r="F58" s="94"/>
      <c r="G58" s="94"/>
    </row>
    <row r="59" spans="1:7" ht="15" customHeight="1" x14ac:dyDescent="0.3">
      <c r="B59" s="95" t="s">
        <v>25</v>
      </c>
      <c r="C59" s="95"/>
      <c r="E59" s="96" t="s">
        <v>26</v>
      </c>
      <c r="F59" s="97"/>
      <c r="G59" s="96" t="s">
        <v>27</v>
      </c>
    </row>
    <row r="60" spans="1:7" ht="15" customHeight="1" x14ac:dyDescent="0.3">
      <c r="A60" s="98" t="s">
        <v>28</v>
      </c>
      <c r="B60" s="99"/>
      <c r="C60" s="99"/>
      <c r="E60" s="99"/>
      <c r="G60" s="99"/>
    </row>
    <row r="61" spans="1:7" ht="15" customHeight="1" x14ac:dyDescent="0.3">
      <c r="A61" s="98" t="s">
        <v>29</v>
      </c>
      <c r="B61" s="100"/>
      <c r="C61" s="100"/>
      <c r="E61" s="100"/>
      <c r="G61" s="10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2" workbookViewId="0">
      <selection activeCell="C44" sqref="C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30</v>
      </c>
      <c r="B11" s="52"/>
      <c r="C11" s="52"/>
      <c r="D11" s="52"/>
      <c r="E11" s="52"/>
      <c r="F11" s="53"/>
      <c r="G11" s="41"/>
    </row>
    <row r="12" spans="1:7" ht="16.5" customHeight="1" x14ac:dyDescent="0.3">
      <c r="A12" s="50" t="s">
        <v>31</v>
      </c>
      <c r="B12" s="50"/>
      <c r="C12" s="50"/>
      <c r="D12" s="50"/>
      <c r="E12" s="50"/>
      <c r="F12" s="50"/>
      <c r="G12" s="40"/>
    </row>
    <row r="14" spans="1:7" ht="16.5" customHeight="1" x14ac:dyDescent="0.3">
      <c r="A14" s="55" t="s">
        <v>32</v>
      </c>
      <c r="B14" s="55"/>
      <c r="C14" s="10" t="s">
        <v>5</v>
      </c>
    </row>
    <row r="15" spans="1:7" ht="16.5" customHeight="1" x14ac:dyDescent="0.3">
      <c r="A15" s="55" t="s">
        <v>33</v>
      </c>
      <c r="B15" s="55"/>
      <c r="C15" s="10" t="s">
        <v>7</v>
      </c>
    </row>
    <row r="16" spans="1:7" ht="16.5" customHeight="1" x14ac:dyDescent="0.3">
      <c r="A16" s="55" t="s">
        <v>34</v>
      </c>
      <c r="B16" s="55"/>
      <c r="C16" s="10" t="s">
        <v>9</v>
      </c>
    </row>
    <row r="17" spans="1:5" ht="16.5" customHeight="1" x14ac:dyDescent="0.3">
      <c r="A17" s="55" t="s">
        <v>35</v>
      </c>
      <c r="B17" s="55"/>
      <c r="C17" s="10" t="s">
        <v>11</v>
      </c>
    </row>
    <row r="18" spans="1:5" ht="16.5" customHeight="1" x14ac:dyDescent="0.3">
      <c r="A18" s="55" t="s">
        <v>36</v>
      </c>
      <c r="B18" s="55"/>
      <c r="C18" s="47" t="s">
        <v>12</v>
      </c>
    </row>
    <row r="19" spans="1:5" ht="16.5" customHeight="1" x14ac:dyDescent="0.3">
      <c r="A19" s="55" t="s">
        <v>37</v>
      </c>
      <c r="B19" s="55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</v>
      </c>
      <c r="B21" s="50"/>
      <c r="C21" s="9" t="s">
        <v>38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39</v>
      </c>
      <c r="D23" s="35" t="s">
        <v>40</v>
      </c>
      <c r="E23" s="2"/>
    </row>
    <row r="24" spans="1:5" ht="15.75" customHeight="1" x14ac:dyDescent="0.3">
      <c r="C24" s="45">
        <v>1067.5899999999999</v>
      </c>
      <c r="D24" s="37">
        <f t="shared" ref="D24:D43" si="0">(C24-$C$46)/$C$46</f>
        <v>8.9698600981571539E-3</v>
      </c>
      <c r="E24" s="3"/>
    </row>
    <row r="25" spans="1:5" ht="15.75" customHeight="1" x14ac:dyDescent="0.3">
      <c r="C25" s="45">
        <v>1070.1600000000001</v>
      </c>
      <c r="D25" s="38">
        <f t="shared" si="0"/>
        <v>1.1398744351899161E-2</v>
      </c>
      <c r="E25" s="3"/>
    </row>
    <row r="26" spans="1:5" ht="15.75" customHeight="1" x14ac:dyDescent="0.3">
      <c r="C26" s="45">
        <v>1068.19</v>
      </c>
      <c r="D26" s="38">
        <f t="shared" si="0"/>
        <v>9.5369147877468197E-3</v>
      </c>
      <c r="E26" s="3"/>
    </row>
    <row r="27" spans="1:5" ht="15.75" customHeight="1" x14ac:dyDescent="0.3">
      <c r="C27" s="45">
        <v>1060.53</v>
      </c>
      <c r="D27" s="38">
        <f t="shared" si="0"/>
        <v>2.2975165839869806E-3</v>
      </c>
      <c r="E27" s="3"/>
    </row>
    <row r="28" spans="1:5" ht="15.75" customHeight="1" x14ac:dyDescent="0.3">
      <c r="C28" s="45">
        <v>1059.19</v>
      </c>
      <c r="D28" s="38">
        <f t="shared" si="0"/>
        <v>1.0310944439037575E-3</v>
      </c>
      <c r="E28" s="3"/>
    </row>
    <row r="29" spans="1:5" ht="15.75" customHeight="1" x14ac:dyDescent="0.3">
      <c r="C29" s="45">
        <v>1068.73</v>
      </c>
      <c r="D29" s="38">
        <f t="shared" si="0"/>
        <v>1.004726400837737E-2</v>
      </c>
      <c r="E29" s="3"/>
    </row>
    <row r="30" spans="1:5" ht="15.75" customHeight="1" x14ac:dyDescent="0.3">
      <c r="C30" s="45">
        <v>1049.8399999999999</v>
      </c>
      <c r="D30" s="38">
        <f t="shared" si="0"/>
        <v>-7.8055078021999971E-3</v>
      </c>
      <c r="E30" s="3"/>
    </row>
    <row r="31" spans="1:5" ht="15.75" customHeight="1" x14ac:dyDescent="0.3">
      <c r="C31" s="45">
        <v>1062.05</v>
      </c>
      <c r="D31" s="38">
        <f t="shared" si="0"/>
        <v>3.7340551309471251E-3</v>
      </c>
      <c r="E31" s="3"/>
    </row>
    <row r="32" spans="1:5" ht="15.75" customHeight="1" x14ac:dyDescent="0.3">
      <c r="C32" s="45">
        <v>1049.3499999999999</v>
      </c>
      <c r="D32" s="38">
        <f t="shared" si="0"/>
        <v>-8.2686024653647952E-3</v>
      </c>
      <c r="E32" s="3"/>
    </row>
    <row r="33" spans="1:7" ht="15.75" customHeight="1" x14ac:dyDescent="0.3">
      <c r="C33" s="45">
        <v>1054.2</v>
      </c>
      <c r="D33" s="38">
        <f t="shared" si="0"/>
        <v>-3.6849103911825712E-3</v>
      </c>
      <c r="E33" s="3"/>
    </row>
    <row r="34" spans="1:7" ht="15.75" customHeight="1" x14ac:dyDescent="0.3">
      <c r="C34" s="45">
        <v>1042.67</v>
      </c>
      <c r="D34" s="38">
        <f t="shared" si="0"/>
        <v>-1.4581811342794824E-2</v>
      </c>
      <c r="E34" s="3"/>
    </row>
    <row r="35" spans="1:7" ht="15.75" customHeight="1" x14ac:dyDescent="0.3">
      <c r="C35" s="45">
        <v>1064.6500000000001</v>
      </c>
      <c r="D35" s="38">
        <f t="shared" si="0"/>
        <v>6.1912921191685831E-3</v>
      </c>
      <c r="E35" s="3"/>
    </row>
    <row r="36" spans="1:7" ht="15.75" customHeight="1" x14ac:dyDescent="0.3">
      <c r="C36" s="45">
        <v>1061.9000000000001</v>
      </c>
      <c r="D36" s="38">
        <f t="shared" si="0"/>
        <v>3.5922914585498696E-3</v>
      </c>
      <c r="E36" s="3"/>
    </row>
    <row r="37" spans="1:7" ht="15.75" customHeight="1" x14ac:dyDescent="0.3">
      <c r="C37" s="45">
        <v>1068.04</v>
      </c>
      <c r="D37" s="38">
        <f t="shared" si="0"/>
        <v>9.395151115349349E-3</v>
      </c>
      <c r="E37" s="3"/>
    </row>
    <row r="38" spans="1:7" ht="15.75" customHeight="1" x14ac:dyDescent="0.3">
      <c r="C38" s="45">
        <v>1069.1300000000001</v>
      </c>
      <c r="D38" s="38">
        <f t="shared" si="0"/>
        <v>1.0425300468103813E-2</v>
      </c>
      <c r="E38" s="3"/>
    </row>
    <row r="39" spans="1:7" ht="15.75" customHeight="1" x14ac:dyDescent="0.3">
      <c r="C39" s="45">
        <v>1059.77</v>
      </c>
      <c r="D39" s="38">
        <f t="shared" si="0"/>
        <v>1.5792473105069084E-3</v>
      </c>
      <c r="E39" s="3"/>
    </row>
    <row r="40" spans="1:7" ht="15.75" customHeight="1" x14ac:dyDescent="0.3">
      <c r="C40" s="45">
        <v>1025.1600000000001</v>
      </c>
      <c r="D40" s="38">
        <f t="shared" si="0"/>
        <v>-3.1130357367316151E-2</v>
      </c>
      <c r="E40" s="3"/>
    </row>
    <row r="41" spans="1:7" ht="15.75" customHeight="1" x14ac:dyDescent="0.3">
      <c r="C41" s="45">
        <v>1043.68</v>
      </c>
      <c r="D41" s="38">
        <f t="shared" si="0"/>
        <v>-1.3627269281985778E-2</v>
      </c>
      <c r="E41" s="3"/>
    </row>
    <row r="42" spans="1:7" ht="15.75" customHeight="1" x14ac:dyDescent="0.3">
      <c r="C42" s="45">
        <v>1052.46</v>
      </c>
      <c r="D42" s="38">
        <f t="shared" si="0"/>
        <v>-5.3293689909922389E-3</v>
      </c>
      <c r="E42" s="3"/>
    </row>
    <row r="43" spans="1:7" ht="16.5" customHeight="1" x14ac:dyDescent="0.3">
      <c r="C43" s="46">
        <v>1064.69</v>
      </c>
      <c r="D43" s="39">
        <f t="shared" si="0"/>
        <v>6.2290957651411844E-3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41</v>
      </c>
      <c r="C45" s="33">
        <f>SUM(C24:C44)</f>
        <v>21161.98</v>
      </c>
      <c r="D45" s="28"/>
      <c r="E45" s="4"/>
    </row>
    <row r="46" spans="1:7" ht="17.25" customHeight="1" x14ac:dyDescent="0.3">
      <c r="B46" s="32" t="s">
        <v>42</v>
      </c>
      <c r="C46" s="34">
        <f>AVERAGE(C24:C44)</f>
        <v>1058.0989999999999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42</v>
      </c>
      <c r="C48" s="35" t="s">
        <v>43</v>
      </c>
      <c r="D48" s="30"/>
      <c r="G48" s="8"/>
    </row>
    <row r="49" spans="1:6" ht="17.25" customHeight="1" x14ac:dyDescent="0.3">
      <c r="B49" s="48">
        <f>C46</f>
        <v>1058.0989999999999</v>
      </c>
      <c r="C49" s="43">
        <f>-IF(C46&lt;=80,10%,IF(C46&lt;250,7.5%,5%))</f>
        <v>-0.05</v>
      </c>
      <c r="D49" s="31">
        <f>IF(C46&lt;=80,C46*0.9,IF(C46&lt;250,C46*0.925,C46*0.95))</f>
        <v>1005.1940499999998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1111.00395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25</v>
      </c>
      <c r="C52" s="17"/>
      <c r="D52" s="18" t="s">
        <v>26</v>
      </c>
      <c r="E52" s="19"/>
      <c r="F52" s="18" t="s">
        <v>27</v>
      </c>
    </row>
    <row r="53" spans="1:6" ht="34.5" customHeight="1" x14ac:dyDescent="0.3">
      <c r="A53" s="20" t="s">
        <v>28</v>
      </c>
      <c r="B53" s="21"/>
      <c r="C53" s="22"/>
      <c r="D53" s="21"/>
      <c r="E53" s="11"/>
      <c r="F53" s="23"/>
    </row>
    <row r="54" spans="1:6" ht="34.5" customHeight="1" x14ac:dyDescent="0.3">
      <c r="A54" s="20" t="s">
        <v>29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TRIMETHROPRIM</vt:lpstr>
      <vt:lpstr>sulfamethoxazole</vt:lpstr>
      <vt:lpstr>sst sulf</vt:lpstr>
      <vt:lpstr>sst tri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2017-05-25T08:14:12Z</cp:lastPrinted>
  <dcterms:created xsi:type="dcterms:W3CDTF">2005-07-05T10:19:27Z</dcterms:created>
  <dcterms:modified xsi:type="dcterms:W3CDTF">2017-05-25T08:16:50Z</dcterms:modified>
</cp:coreProperties>
</file>