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10_D\Wet Chemistry\Worksheets\Sarah Muthoni\2017\June 2017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FLUCONAZOL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3" l="1"/>
  <c r="F99" i="3" s="1"/>
  <c r="I92" i="3"/>
  <c r="D101" i="3"/>
  <c r="I39" i="3"/>
  <c r="D44" i="3"/>
  <c r="D45" i="3" s="1"/>
  <c r="E41" i="3" s="1"/>
  <c r="F45" i="3"/>
  <c r="F46" i="3" s="1"/>
  <c r="B69" i="3"/>
  <c r="D33" i="2"/>
  <c r="D97" i="3"/>
  <c r="D98" i="3" s="1"/>
  <c r="D99" i="3" s="1"/>
  <c r="D30" i="2"/>
  <c r="D38" i="2"/>
  <c r="D50" i="2"/>
  <c r="D49" i="3"/>
  <c r="D26" i="2"/>
  <c r="D34" i="2"/>
  <c r="D42" i="2"/>
  <c r="B49" i="2"/>
  <c r="D39" i="2"/>
  <c r="D25" i="2"/>
  <c r="D29" i="2"/>
  <c r="D37" i="2"/>
  <c r="D41" i="2"/>
  <c r="C50" i="2"/>
  <c r="D27" i="2"/>
  <c r="D31" i="2"/>
  <c r="D35" i="2"/>
  <c r="D43" i="2"/>
  <c r="C49" i="2"/>
  <c r="D24" i="2"/>
  <c r="D28" i="2"/>
  <c r="D32" i="2"/>
  <c r="D36" i="2"/>
  <c r="D40" i="2"/>
  <c r="D49" i="2"/>
  <c r="G92" i="3" l="1"/>
  <c r="G93" i="3"/>
  <c r="G91" i="3"/>
  <c r="G94" i="3"/>
  <c r="D102" i="3"/>
  <c r="G39" i="3"/>
  <c r="E40" i="3"/>
  <c r="G41" i="3"/>
  <c r="G40" i="3"/>
  <c r="G38" i="3"/>
  <c r="D46" i="3"/>
  <c r="E38" i="3"/>
  <c r="E39" i="3"/>
  <c r="E92" i="3"/>
  <c r="E91" i="3"/>
  <c r="E93" i="3"/>
  <c r="E94" i="3"/>
  <c r="G95" i="3" l="1"/>
  <c r="G42" i="3"/>
  <c r="D52" i="3"/>
  <c r="D50" i="3"/>
  <c r="D51" i="3" s="1"/>
  <c r="E42" i="3"/>
  <c r="D103" i="3"/>
  <c r="E95" i="3"/>
  <c r="D105" i="3"/>
  <c r="G70" i="3" l="1"/>
  <c r="H70" i="3" s="1"/>
  <c r="G60" i="3"/>
  <c r="H60" i="3" s="1"/>
  <c r="G68" i="3"/>
  <c r="H68" i="3" s="1"/>
  <c r="G62" i="3"/>
  <c r="H62" i="3" s="1"/>
  <c r="G67" i="3"/>
  <c r="H67" i="3" s="1"/>
  <c r="G71" i="3"/>
  <c r="H71" i="3" s="1"/>
  <c r="G66" i="3"/>
  <c r="H66" i="3" s="1"/>
  <c r="G69" i="3"/>
  <c r="H69" i="3" s="1"/>
  <c r="G63" i="3"/>
  <c r="H63" i="3" s="1"/>
  <c r="G64" i="3"/>
  <c r="H64" i="3" s="1"/>
  <c r="G61" i="3"/>
  <c r="H61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H74" i="3"/>
  <c r="H72" i="3"/>
  <c r="F108" i="3"/>
  <c r="E120" i="3"/>
  <c r="E117" i="3"/>
  <c r="E115" i="3"/>
  <c r="E116" i="3" s="1"/>
  <c r="E119" i="3"/>
  <c r="H73" i="3" l="1"/>
  <c r="G76" i="3"/>
  <c r="F125" i="3"/>
  <c r="F120" i="3"/>
  <c r="F117" i="3"/>
  <c r="D125" i="3"/>
  <c r="F115" i="3"/>
  <c r="F119" i="3"/>
  <c r="G124" i="3" l="1"/>
  <c r="F116" i="3"/>
</calcChain>
</file>

<file path=xl/sharedStrings.xml><?xml version="1.0" encoding="utf-8"?>
<sst xmlns="http://schemas.openxmlformats.org/spreadsheetml/2006/main" count="240" uniqueCount="134">
  <si>
    <t>HPLC System Suitability Report</t>
  </si>
  <si>
    <t>Analysis Data</t>
  </si>
  <si>
    <t>Assay</t>
  </si>
  <si>
    <t>Sample(s)</t>
  </si>
  <si>
    <t>Reference Substance:</t>
  </si>
  <si>
    <t>FLUCONAZOLE 200 MG TABLETS</t>
  </si>
  <si>
    <t>% age Purity:</t>
  </si>
  <si>
    <t>NDQB201705407</t>
  </si>
  <si>
    <t>Weight (mg):</t>
  </si>
  <si>
    <t>Fluconazole USP</t>
  </si>
  <si>
    <t>Standard Conc (mg/mL):</t>
  </si>
  <si>
    <t>Each tablet contains: Fluconazole USP 200 mg.</t>
  </si>
  <si>
    <t>2017-05-30 11:42:06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</si>
  <si>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</si>
  <si>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</si>
  <si>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</si>
  <si>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</si>
  <si>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</si>
  <si>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</si>
  <si>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</si>
  <si>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</si>
  <si>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</si>
  <si>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</si>
  <si>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</si>
  <si>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</si>
  <si>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</si>
  <si>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</si>
  <si>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</si>
  <si>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</si>
  <si>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</si>
  <si>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</si>
  <si>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</si>
  <si>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</si>
  <si>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</si>
  <si>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</si>
  <si>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</si>
  <si>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</si>
  <si>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</si>
  <si>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</si>
  <si>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</si>
  <si>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</si>
  <si>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</si>
  <si>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</si>
  <si>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</si>
  <si>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</si>
  <si>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</si>
  <si>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</si>
  <si>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</si>
  <si>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</si>
  <si>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</si>
  <si>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</si>
  <si>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</si>
  <si>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</si>
  <si>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</si>
  <si>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</si>
  <si>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</si>
  <si>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</si>
  <si>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</si>
  <si>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</si>
  <si>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</si>
  <si>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</si>
  <si>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</si>
  <si>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</si>
  <si>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</si>
  <si>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</si>
  <si>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</si>
  <si>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</si>
  <si>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</si>
  <si>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</si>
  <si>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</si>
  <si>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</si>
  <si>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</si>
  <si>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</si>
  <si>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</si>
  <si>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</si>
  <si>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</si>
  <si>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</si>
  <si>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</si>
  <si>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</si>
  <si>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</si>
  <si>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</si>
  <si>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</si>
  <si>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</si>
  <si>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</si>
  <si>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</si>
  <si>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</si>
  <si>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</si>
  <si>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</si>
  <si>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</si>
  <si>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</si>
  <si>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</si>
  <si>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</si>
  <si>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</si>
  <si>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</si>
  <si>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</si>
  <si>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</si>
  <si>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</si>
  <si>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</si>
  <si>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</si>
  <si>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</si>
  <si>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</si>
  <si>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</si>
  <si>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</si>
  <si>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</si>
  <si>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</si>
  <si>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</si>
  <si>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</si>
  <si>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</si>
  <si>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</si>
  <si>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</si>
  <si>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</si>
  <si>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</si>
  <si>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</si>
  <si>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</si>
  <si>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</si>
  <si>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</si>
  <si>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</si>
  <si>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</si>
  <si>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</si>
  <si>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</si>
  <si>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</si>
  <si>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</si>
  <si>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</si>
  <si>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</si>
  <si>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</si>
  <si>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</si>
  <si>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</si>
  <si>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</si>
  <si>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</si>
  <si>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</si>
  <si>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</si>
  <si>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Fluconazole</t>
  </si>
  <si>
    <t>F1-1</t>
  </si>
  <si>
    <t>FLUCONAZOLE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</si>
</sst>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4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98.98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19.32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0.19320000000000001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1846382</v>
      </c>
      <c r="C24" s="18">
        <v>4317.8999999999996</v>
      </c>
      <c r="D24" s="19">
        <v>0.9</v>
      </c>
      <c r="E24" s="20">
        <v>4.0999999999999996</v>
      </c>
    </row>
    <row r="25" spans="1:6" ht="16.5" customHeight="1" x14ac:dyDescent="0.3">
      <c r="A25" s="17">
        <v>2</v>
      </c>
      <c r="B25" s="18">
        <v>1841464</v>
      </c>
      <c r="C25" s="18">
        <v>4344</v>
      </c>
      <c r="D25" s="19">
        <v>0.9</v>
      </c>
      <c r="E25" s="19">
        <v>4.0999999999999996</v>
      </c>
    </row>
    <row r="26" spans="1:6" ht="16.5" customHeight="1" x14ac:dyDescent="0.3">
      <c r="A26" s="17">
        <v>3</v>
      </c>
      <c r="B26" s="18">
        <v>1837781</v>
      </c>
      <c r="C26" s="18">
        <v>4345.8</v>
      </c>
      <c r="D26" s="19">
        <v>0.9</v>
      </c>
      <c r="E26" s="19">
        <v>4.0999999999999996</v>
      </c>
    </row>
    <row r="27" spans="1:6" ht="16.5" customHeight="1" x14ac:dyDescent="0.3">
      <c r="A27" s="17">
        <v>4</v>
      </c>
      <c r="B27" s="18">
        <v>1838605</v>
      </c>
      <c r="C27" s="18">
        <v>4359.3</v>
      </c>
      <c r="D27" s="19">
        <v>0.9</v>
      </c>
      <c r="E27" s="19">
        <v>4.0999999999999996</v>
      </c>
    </row>
    <row r="28" spans="1:6" ht="16.5" customHeight="1" x14ac:dyDescent="0.3">
      <c r="A28" s="17">
        <v>5</v>
      </c>
      <c r="B28" s="18">
        <v>1835506</v>
      </c>
      <c r="C28" s="18">
        <v>4356.1000000000004</v>
      </c>
      <c r="D28" s="19">
        <v>1</v>
      </c>
      <c r="E28" s="19">
        <v>4.0999999999999996</v>
      </c>
    </row>
    <row r="29" spans="1:6" ht="16.5" customHeight="1" x14ac:dyDescent="0.3">
      <c r="A29" s="17">
        <v>6</v>
      </c>
      <c r="B29" s="21">
        <v>1842852</v>
      </c>
      <c r="C29" s="21">
        <v>4415.3999999999996</v>
      </c>
      <c r="D29" s="22">
        <v>0.9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1840431.6666666667</v>
      </c>
      <c r="C30" s="25">
        <f>AVERAGE(C24:C29)</f>
        <v>4356.416666666667</v>
      </c>
      <c r="D30" s="26">
        <f>AVERAGE(D24:D29)</f>
        <v>0.91666666666666663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2.1316411079188905E-3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98.98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19.32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0.19320000000000001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1846382</v>
      </c>
      <c r="C45" s="18">
        <v>4317.8999999999996</v>
      </c>
      <c r="D45" s="19">
        <v>0.9</v>
      </c>
      <c r="E45" s="20">
        <v>4.0999999999999996</v>
      </c>
    </row>
    <row r="46" spans="1:6" ht="16.5" customHeight="1" x14ac:dyDescent="0.3">
      <c r="A46" s="17">
        <v>2</v>
      </c>
      <c r="B46" s="18">
        <v>1841464</v>
      </c>
      <c r="C46" s="18">
        <v>4344</v>
      </c>
      <c r="D46" s="19">
        <v>0.9</v>
      </c>
      <c r="E46" s="19">
        <v>4.0999999999999996</v>
      </c>
    </row>
    <row r="47" spans="1:6" ht="16.5" customHeight="1" x14ac:dyDescent="0.3">
      <c r="A47" s="17">
        <v>3</v>
      </c>
      <c r="B47" s="18">
        <v>1837781</v>
      </c>
      <c r="C47" s="18">
        <v>4345.8</v>
      </c>
      <c r="D47" s="19">
        <v>0.9</v>
      </c>
      <c r="E47" s="19">
        <v>4.0999999999999996</v>
      </c>
    </row>
    <row r="48" spans="1:6" ht="16.5" customHeight="1" x14ac:dyDescent="0.3">
      <c r="A48" s="17">
        <v>4</v>
      </c>
      <c r="B48" s="18">
        <v>1838605</v>
      </c>
      <c r="C48" s="18">
        <v>4359.3</v>
      </c>
      <c r="D48" s="19">
        <v>0.9</v>
      </c>
      <c r="E48" s="19">
        <v>4.0999999999999996</v>
      </c>
    </row>
    <row r="49" spans="1:7" ht="16.5" customHeight="1" x14ac:dyDescent="0.3">
      <c r="A49" s="17">
        <v>5</v>
      </c>
      <c r="B49" s="18">
        <v>1835506</v>
      </c>
      <c r="C49" s="18">
        <v>4356.1000000000004</v>
      </c>
      <c r="D49" s="19">
        <v>1</v>
      </c>
      <c r="E49" s="19">
        <v>4.0999999999999996</v>
      </c>
    </row>
    <row r="50" spans="1:7" ht="16.5" customHeight="1" x14ac:dyDescent="0.3">
      <c r="A50" s="17">
        <v>6</v>
      </c>
      <c r="B50" s="21">
        <v>1842852</v>
      </c>
      <c r="C50" s="21">
        <v>4415.3999999999996</v>
      </c>
      <c r="D50" s="22">
        <v>0.9</v>
      </c>
      <c r="E50" s="22">
        <v>4.0999999999999996</v>
      </c>
    </row>
    <row r="51" spans="1:7" ht="16.5" customHeight="1" x14ac:dyDescent="0.3">
      <c r="A51" s="23" t="s">
        <v>18</v>
      </c>
      <c r="B51" s="24">
        <f>AVERAGE(B45:B50)</f>
        <v>1840431.6666666667</v>
      </c>
      <c r="C51" s="25">
        <f>AVERAGE(C45:C50)</f>
        <v>4356.416666666667</v>
      </c>
      <c r="D51" s="26">
        <f>AVERAGE(D45:D50)</f>
        <v>0.91666666666666663</v>
      </c>
      <c r="E51" s="26">
        <f>AVERAGE(E45:E50)</f>
        <v>4.1000000000000005</v>
      </c>
    </row>
    <row r="52" spans="1:7" ht="16.5" customHeight="1" x14ac:dyDescent="0.3">
      <c r="A52" s="27" t="s">
        <v>19</v>
      </c>
      <c r="B52" s="28">
        <f>(STDEV(B45:B50)/B51)</f>
        <v>2.1316411079188905E-3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B43" sqref="B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450.27</v>
      </c>
      <c r="D24" s="87">
        <f t="shared" ref="D24:D43" si="0">(C24-$C$46)/$C$46</f>
        <v>-3.4217469058199263E-3</v>
      </c>
      <c r="E24" s="53"/>
    </row>
    <row r="25" spans="1:5" ht="15.75" customHeight="1" x14ac:dyDescent="0.3">
      <c r="C25" s="95">
        <v>458</v>
      </c>
      <c r="D25" s="88">
        <f t="shared" si="0"/>
        <v>1.368698762328046E-2</v>
      </c>
      <c r="E25" s="53"/>
    </row>
    <row r="26" spans="1:5" ht="15.75" customHeight="1" x14ac:dyDescent="0.3">
      <c r="C26" s="95">
        <v>447.46</v>
      </c>
      <c r="D26" s="88">
        <f t="shared" si="0"/>
        <v>-9.6410928342509743E-3</v>
      </c>
      <c r="E26" s="53"/>
    </row>
    <row r="27" spans="1:5" ht="15.75" customHeight="1" x14ac:dyDescent="0.3">
      <c r="C27" s="95">
        <v>448.89</v>
      </c>
      <c r="D27" s="88">
        <f t="shared" si="0"/>
        <v>-6.4760876108856955E-3</v>
      </c>
      <c r="E27" s="53"/>
    </row>
    <row r="28" spans="1:5" ht="15.75" customHeight="1" x14ac:dyDescent="0.3">
      <c r="C28" s="95">
        <v>452.31</v>
      </c>
      <c r="D28" s="88">
        <f t="shared" si="0"/>
        <v>1.0933654407990977E-3</v>
      </c>
      <c r="E28" s="53"/>
    </row>
    <row r="29" spans="1:5" ht="15.75" customHeight="1" x14ac:dyDescent="0.3">
      <c r="C29" s="95">
        <v>454.12</v>
      </c>
      <c r="D29" s="88">
        <f t="shared" si="0"/>
        <v>5.0994210032404511E-3</v>
      </c>
      <c r="E29" s="53"/>
    </row>
    <row r="30" spans="1:5" ht="15.75" customHeight="1" x14ac:dyDescent="0.3">
      <c r="C30" s="95">
        <v>451.06</v>
      </c>
      <c r="D30" s="88">
        <f t="shared" si="0"/>
        <v>-1.6732475166880215E-3</v>
      </c>
      <c r="E30" s="53"/>
    </row>
    <row r="31" spans="1:5" ht="15.75" customHeight="1" x14ac:dyDescent="0.3">
      <c r="C31" s="95">
        <v>454.19</v>
      </c>
      <c r="D31" s="88">
        <f t="shared" si="0"/>
        <v>5.2543513288597146E-3</v>
      </c>
      <c r="E31" s="53"/>
    </row>
    <row r="32" spans="1:5" ht="15.75" customHeight="1" x14ac:dyDescent="0.3">
      <c r="C32" s="95">
        <v>456.82</v>
      </c>
      <c r="D32" s="88">
        <f t="shared" si="0"/>
        <v>1.1075304991412604E-2</v>
      </c>
      <c r="E32" s="53"/>
    </row>
    <row r="33" spans="1:7" ht="15.75" customHeight="1" x14ac:dyDescent="0.3">
      <c r="C33" s="95">
        <v>446.65</v>
      </c>
      <c r="D33" s="88">
        <f t="shared" si="0"/>
        <v>-1.1433858030702633E-2</v>
      </c>
      <c r="E33" s="53"/>
    </row>
    <row r="34" spans="1:7" ht="15.75" customHeight="1" x14ac:dyDescent="0.3">
      <c r="C34" s="95">
        <v>444.61</v>
      </c>
      <c r="D34" s="88">
        <f t="shared" si="0"/>
        <v>-1.5948970377321531E-2</v>
      </c>
      <c r="E34" s="53"/>
    </row>
    <row r="35" spans="1:7" ht="15.75" customHeight="1" x14ac:dyDescent="0.3">
      <c r="C35" s="95">
        <v>457.03</v>
      </c>
      <c r="D35" s="88">
        <f t="shared" si="0"/>
        <v>1.1540095968270395E-2</v>
      </c>
      <c r="E35" s="53"/>
    </row>
    <row r="36" spans="1:7" ht="15.75" customHeight="1" x14ac:dyDescent="0.3">
      <c r="C36" s="95">
        <v>446.69</v>
      </c>
      <c r="D36" s="88">
        <f t="shared" si="0"/>
        <v>-1.1345326416062999E-2</v>
      </c>
      <c r="E36" s="53"/>
    </row>
    <row r="37" spans="1:7" ht="15.75" customHeight="1" x14ac:dyDescent="0.3">
      <c r="C37" s="95">
        <v>456.45</v>
      </c>
      <c r="D37" s="88">
        <f t="shared" si="0"/>
        <v>1.0256387555996406E-2</v>
      </c>
      <c r="E37" s="53"/>
    </row>
    <row r="38" spans="1:7" ht="15.75" customHeight="1" x14ac:dyDescent="0.3">
      <c r="C38" s="95">
        <v>446.66</v>
      </c>
      <c r="D38" s="88">
        <f t="shared" si="0"/>
        <v>-1.1411725127042631E-2</v>
      </c>
      <c r="E38" s="53"/>
    </row>
    <row r="39" spans="1:7" ht="15.75" customHeight="1" x14ac:dyDescent="0.3">
      <c r="C39" s="95">
        <v>445.99</v>
      </c>
      <c r="D39" s="88">
        <f t="shared" si="0"/>
        <v>-1.2894629672255761E-2</v>
      </c>
      <c r="E39" s="53"/>
    </row>
    <row r="40" spans="1:7" ht="15.75" customHeight="1" x14ac:dyDescent="0.3">
      <c r="C40" s="95">
        <v>452.66</v>
      </c>
      <c r="D40" s="88">
        <f t="shared" si="0"/>
        <v>1.8680170688955414E-3</v>
      </c>
      <c r="E40" s="53"/>
    </row>
    <row r="41" spans="1:7" ht="15.75" customHeight="1" x14ac:dyDescent="0.3">
      <c r="C41" s="95">
        <v>460.93</v>
      </c>
      <c r="D41" s="88">
        <f t="shared" si="0"/>
        <v>2.0171928395630281E-2</v>
      </c>
      <c r="E41" s="53"/>
    </row>
    <row r="42" spans="1:7" ht="15.75" customHeight="1" x14ac:dyDescent="0.3">
      <c r="C42" s="95">
        <v>452.23</v>
      </c>
      <c r="D42" s="88">
        <f t="shared" si="0"/>
        <v>9.1630221151995728E-4</v>
      </c>
      <c r="E42" s="53"/>
    </row>
    <row r="43" spans="1:7" ht="16.5" customHeight="1" x14ac:dyDescent="0.3">
      <c r="C43" s="96">
        <v>453.3</v>
      </c>
      <c r="D43" s="89">
        <f t="shared" si="0"/>
        <v>3.2845229031289161E-3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9036.3199999999979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451.81599999999992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451.81599999999992</v>
      </c>
      <c r="C49" s="93">
        <f>-IF(C46&lt;=80,10%,IF(C46&lt;250,7.5%,5%))</f>
        <v>-0.05</v>
      </c>
      <c r="D49" s="81">
        <f>IF(C46&lt;=80,C46*0.9,IF(C46&lt;250,C46*0.925,C46*0.95))</f>
        <v>429.22519999999992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474.40679999999992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2" t="s">
        <v>9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7" t="s">
        <v>131</v>
      </c>
      <c r="C26" s="297"/>
    </row>
    <row r="27" spans="1:14" ht="26.25" customHeight="1" x14ac:dyDescent="0.4">
      <c r="A27" s="109" t="s">
        <v>48</v>
      </c>
      <c r="B27" s="303" t="s">
        <v>132</v>
      </c>
      <c r="C27" s="303"/>
    </row>
    <row r="28" spans="1:14" ht="27" customHeight="1" x14ac:dyDescent="0.4">
      <c r="A28" s="109" t="s">
        <v>6</v>
      </c>
      <c r="B28" s="110">
        <v>98.98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1840958</v>
      </c>
      <c r="E38" s="133">
        <f>IF(ISBLANK(D38),"-",$D$48/$D$45*D38)</f>
        <v>1925392.6279939439</v>
      </c>
      <c r="F38" s="132">
        <v>2067983</v>
      </c>
      <c r="G38" s="134">
        <f>IF(ISBLANK(F38),"-",$D$48/$F$45*F38)</f>
        <v>1970102.590029808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1864152</v>
      </c>
      <c r="E39" s="138">
        <f>IF(ISBLANK(D39),"-",$D$48/$D$45*D39)</f>
        <v>1949650.40933045</v>
      </c>
      <c r="F39" s="137">
        <v>2075456</v>
      </c>
      <c r="G39" s="139">
        <f>IF(ISBLANK(F39),"-",$D$48/$F$45*F39)</f>
        <v>1977221.8829134018</v>
      </c>
      <c r="I39" s="314">
        <f>ABS((F43/D43*D42)-F42)/D42</f>
        <v>1.6102897272395986E-2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1883029</v>
      </c>
      <c r="E40" s="138">
        <f>IF(ISBLANK(D40),"-",$D$48/$D$45*D40)</f>
        <v>1969393.1935974683</v>
      </c>
      <c r="F40" s="137">
        <v>2081351</v>
      </c>
      <c r="G40" s="139">
        <f>IF(ISBLANK(F40),"-",$D$48/$F$45*F40)</f>
        <v>1982837.8646541731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1862713</v>
      </c>
      <c r="E42" s="148">
        <f>AVERAGE(E38:E41)</f>
        <v>1948145.4103072875</v>
      </c>
      <c r="F42" s="147">
        <f>AVERAGE(F38:F41)</f>
        <v>2074930</v>
      </c>
      <c r="G42" s="149">
        <f>AVERAGE(G38:G41)</f>
        <v>1976720.7791991278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19.32</v>
      </c>
      <c r="E43" s="140"/>
      <c r="F43" s="152">
        <v>21.21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19.32</v>
      </c>
      <c r="E44" s="155"/>
      <c r="F44" s="154">
        <f>F43*$B$34</f>
        <v>21.21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19.122936000000003</v>
      </c>
      <c r="E45" s="158"/>
      <c r="F45" s="157">
        <f>F44*$B$30/100</f>
        <v>20.993658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0.19122936000000001</v>
      </c>
      <c r="E46" s="160"/>
      <c r="F46" s="161">
        <f>F45/$B$45</f>
        <v>0.20993658000000001</v>
      </c>
      <c r="H46" s="150"/>
    </row>
    <row r="47" spans="1:14" ht="27" customHeight="1" x14ac:dyDescent="0.4">
      <c r="A47" s="317"/>
      <c r="B47" s="318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1962433.0947532076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1.0876028321374132E-2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Fluconazole USP 200 mg.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Fluconazole USP</v>
      </c>
      <c r="H56" s="179"/>
    </row>
    <row r="57" spans="1:12" ht="18.75" x14ac:dyDescent="0.3">
      <c r="A57" s="176" t="s">
        <v>88</v>
      </c>
      <c r="B57" s="247">
        <f>Uniformity!C46</f>
        <v>451.81599999999992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19" t="s">
        <v>94</v>
      </c>
      <c r="D60" s="322">
        <v>454.17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20"/>
      <c r="D61" s="323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445.95</v>
      </c>
      <c r="E64" s="182">
        <v>1</v>
      </c>
      <c r="F64" s="183">
        <v>1863153</v>
      </c>
      <c r="G64" s="248">
        <f>IF(ISBLANK(F64),"-",(F64/$D$50*$D$47*$B$68)*($B$57/$D$64))</f>
        <v>192.37963421316309</v>
      </c>
      <c r="H64" s="266">
        <f t="shared" si="0"/>
        <v>96.189817106581543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4">
        <v>2</v>
      </c>
      <c r="F65" s="137">
        <v>1824042</v>
      </c>
      <c r="G65" s="249">
        <f>IF(ISBLANK(F65),"-",(F65/$D$50*$D$47*$B$68)*($B$57/$D$64))</f>
        <v>188.3412327111335</v>
      </c>
      <c r="H65" s="267">
        <f t="shared" si="0"/>
        <v>94.17061635556675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4">
        <v>3</v>
      </c>
      <c r="F66" s="137">
        <v>1853735</v>
      </c>
      <c r="G66" s="249">
        <f>IF(ISBLANK(F66),"-",(F66/$D$50*$D$47*$B$68)*($B$57/$D$64))</f>
        <v>191.40717977972713</v>
      </c>
      <c r="H66" s="267">
        <f t="shared" si="0"/>
        <v>95.703589889863565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19" t="s">
        <v>104</v>
      </c>
      <c r="D68" s="322">
        <v>444.68</v>
      </c>
      <c r="E68" s="182">
        <v>1</v>
      </c>
      <c r="F68" s="183">
        <v>1795673</v>
      </c>
      <c r="G68" s="248">
        <f>IF(ISBLANK(F68),"-",(F68/$D$50*$D$47*$B$68)*($B$57/$D$68))</f>
        <v>185.94152922286088</v>
      </c>
      <c r="H68" s="267">
        <f t="shared" si="0"/>
        <v>92.97076461143044</v>
      </c>
    </row>
    <row r="69" spans="1:8" ht="27" customHeight="1" x14ac:dyDescent="0.4">
      <c r="A69" s="172" t="s">
        <v>105</v>
      </c>
      <c r="B69" s="189">
        <f>(D47*B68)/B56*B57</f>
        <v>451.81599999999992</v>
      </c>
      <c r="C69" s="320"/>
      <c r="D69" s="323"/>
      <c r="E69" s="184">
        <v>2</v>
      </c>
      <c r="F69" s="137">
        <v>1812049</v>
      </c>
      <c r="G69" s="249">
        <f>IF(ISBLANK(F69),"-",(F69/$D$50*$D$47*$B$68)*($B$57/$D$68))</f>
        <v>187.63726028444816</v>
      </c>
      <c r="H69" s="267">
        <f t="shared" si="0"/>
        <v>93.81863014222408</v>
      </c>
    </row>
    <row r="70" spans="1:8" ht="26.25" customHeight="1" x14ac:dyDescent="0.4">
      <c r="A70" s="332" t="s">
        <v>78</v>
      </c>
      <c r="B70" s="333"/>
      <c r="C70" s="320"/>
      <c r="D70" s="323"/>
      <c r="E70" s="184">
        <v>3</v>
      </c>
      <c r="F70" s="137">
        <v>1811278</v>
      </c>
      <c r="G70" s="249">
        <f>IF(ISBLANK(F70),"-",(F70/$D$50*$D$47*$B$68)*($B$57/$D$68))</f>
        <v>187.55742341045672</v>
      </c>
      <c r="H70" s="267">
        <f t="shared" si="0"/>
        <v>93.778711705228361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188.87737660363157</v>
      </c>
      <c r="H72" s="269">
        <f>AVERAGE(H60:H71)</f>
        <v>94.438688301815787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1.3151655671356956E-2</v>
      </c>
      <c r="H73" s="253">
        <f>STDEV(H60:H71)/H72</f>
        <v>1.3151655671356956E-2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27" t="str">
        <f>B26</f>
        <v>Fluconazole</v>
      </c>
      <c r="D76" s="327"/>
      <c r="E76" s="198" t="s">
        <v>108</v>
      </c>
      <c r="F76" s="198"/>
      <c r="G76" s="199">
        <f>H72</f>
        <v>94.438688301815787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>Fluconazole</v>
      </c>
      <c r="C79" s="313"/>
    </row>
    <row r="80" spans="1:8" ht="26.25" customHeight="1" x14ac:dyDescent="0.4">
      <c r="A80" s="109" t="s">
        <v>48</v>
      </c>
      <c r="B80" s="313" t="str">
        <f>B27</f>
        <v>F1-1</v>
      </c>
      <c r="C80" s="313"/>
    </row>
    <row r="81" spans="1:12" ht="27" customHeight="1" x14ac:dyDescent="0.4">
      <c r="A81" s="109" t="s">
        <v>6</v>
      </c>
      <c r="B81" s="201">
        <f>B28</f>
        <v>98.98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0" t="s">
        <v>60</v>
      </c>
      <c r="G89" s="31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1840958</v>
      </c>
      <c r="E91" s="133">
        <f>IF(ISBLANK(D91),"-",$D$101/$D$98*D91)</f>
        <v>2139325.1422154927</v>
      </c>
      <c r="F91" s="132">
        <v>2067983</v>
      </c>
      <c r="G91" s="134">
        <f>IF(ISBLANK(F91),"-",$D$101/$F$98*F91)</f>
        <v>2189002.8778108978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1864152</v>
      </c>
      <c r="E92" s="138">
        <f>IF(ISBLANK(D92),"-",$D$101/$D$98*D92)</f>
        <v>2166278.2325893883</v>
      </c>
      <c r="F92" s="137">
        <v>2075456</v>
      </c>
      <c r="G92" s="139">
        <f>IF(ISBLANK(F92),"-",$D$101/$F$98*F92)</f>
        <v>2196913.2032371126</v>
      </c>
      <c r="I92" s="314">
        <f>ABS((F96/D96*D95)-F95)/D95</f>
        <v>1.6102897272395986E-2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1883029</v>
      </c>
      <c r="E93" s="138">
        <f>IF(ISBLANK(D93),"-",$D$101/$D$98*D93)</f>
        <v>2188214.6595527423</v>
      </c>
      <c r="F93" s="137">
        <v>2081351</v>
      </c>
      <c r="G93" s="139">
        <f>IF(ISBLANK(F93),"-",$D$101/$F$98*F93)</f>
        <v>2203153.1829490811</v>
      </c>
      <c r="I93" s="3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1862713</v>
      </c>
      <c r="E95" s="148">
        <f>AVERAGE(E91:E94)</f>
        <v>2164606.0114525408</v>
      </c>
      <c r="F95" s="211">
        <f>AVERAGE(F91:F94)</f>
        <v>2074930</v>
      </c>
      <c r="G95" s="212">
        <f>AVERAGE(G91:G94)</f>
        <v>2196356.4213323635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19.32</v>
      </c>
      <c r="E96" s="140"/>
      <c r="F96" s="152">
        <v>21.21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19.32</v>
      </c>
      <c r="E97" s="155"/>
      <c r="F97" s="154">
        <f>F96*$B$87</f>
        <v>21.21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19.122936000000003</v>
      </c>
      <c r="E98" s="158"/>
      <c r="F98" s="157">
        <f>F97*$B$83/100</f>
        <v>20.993658</v>
      </c>
    </row>
    <row r="99" spans="1:10" ht="19.5" customHeight="1" x14ac:dyDescent="0.3">
      <c r="A99" s="315" t="s">
        <v>78</v>
      </c>
      <c r="B99" s="329"/>
      <c r="C99" s="215" t="s">
        <v>116</v>
      </c>
      <c r="D99" s="219">
        <f>D98/$B$98</f>
        <v>0.19122936000000001</v>
      </c>
      <c r="E99" s="158"/>
      <c r="F99" s="161">
        <f>F98/$B$98</f>
        <v>0.20993658000000001</v>
      </c>
      <c r="G99" s="220"/>
      <c r="H99" s="150"/>
    </row>
    <row r="100" spans="1:10" ht="19.5" customHeight="1" x14ac:dyDescent="0.3">
      <c r="A100" s="317"/>
      <c r="B100" s="330"/>
      <c r="C100" s="215" t="s">
        <v>80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2180481.2163924524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1.0876028321374194E-2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1852262</v>
      </c>
      <c r="E108" s="250">
        <f t="shared" ref="E108:E113" si="1">IF(ISBLANK(D108),"-",D108/$D$103*$D$100*$B$116)</f>
        <v>169.89479075307219</v>
      </c>
      <c r="F108" s="277">
        <f t="shared" ref="F108:F113" si="2">IF(ISBLANK(D108), "-", (E108/$B$56)*100)</f>
        <v>84.947395376536093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1852794</v>
      </c>
      <c r="E109" s="251">
        <f t="shared" si="1"/>
        <v>169.94358732109583</v>
      </c>
      <c r="F109" s="278">
        <f t="shared" si="2"/>
        <v>84.971793660547917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1854685</v>
      </c>
      <c r="E110" s="251">
        <f t="shared" si="1"/>
        <v>170.11703527247312</v>
      </c>
      <c r="F110" s="278">
        <f t="shared" si="2"/>
        <v>85.058517636236559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1850431</v>
      </c>
      <c r="E111" s="251">
        <f t="shared" si="1"/>
        <v>169.72684617402834</v>
      </c>
      <c r="F111" s="278">
        <f t="shared" si="2"/>
        <v>84.863423087014169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1850969</v>
      </c>
      <c r="E112" s="251">
        <f t="shared" si="1"/>
        <v>169.77619307928535</v>
      </c>
      <c r="F112" s="278">
        <f t="shared" si="2"/>
        <v>84.888096539642675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1847307</v>
      </c>
      <c r="E113" s="252">
        <f t="shared" si="1"/>
        <v>169.44030392119771</v>
      </c>
      <c r="F113" s="279">
        <f t="shared" si="2"/>
        <v>84.720151960598855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169.8164594201921</v>
      </c>
      <c r="F115" s="281">
        <f>AVERAGE(F108:F113)</f>
        <v>84.908229710096052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1.3525793298312231E-3</v>
      </c>
      <c r="F116" s="235">
        <f>STDEV(F108:F113)/F115</f>
        <v>1.3525793298312231E-3</v>
      </c>
      <c r="I116" s="98"/>
    </row>
    <row r="117" spans="1:10" ht="27" customHeight="1" x14ac:dyDescent="0.4">
      <c r="A117" s="315" t="s">
        <v>78</v>
      </c>
      <c r="B117" s="31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169.44030392119771</v>
      </c>
      <c r="F119" s="282">
        <f>MIN(F108:F113)</f>
        <v>84.720151960598855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170.11703527247312</v>
      </c>
      <c r="F120" s="283">
        <f>MAX(F108:F113)</f>
        <v>85.058517636236559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7" t="str">
        <f>B26</f>
        <v>Fluconazole</v>
      </c>
      <c r="D124" s="327"/>
      <c r="E124" s="198" t="s">
        <v>127</v>
      </c>
      <c r="F124" s="198"/>
      <c r="G124" s="284">
        <f>F115</f>
        <v>84.908229710096052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84.720151960598855</v>
      </c>
      <c r="E125" s="209" t="s">
        <v>130</v>
      </c>
      <c r="F125" s="284">
        <f>MAX(F108:F113)</f>
        <v>85.058517636236559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26</v>
      </c>
      <c r="C127" s="328"/>
      <c r="E127" s="204" t="s">
        <v>27</v>
      </c>
      <c r="F127" s="239"/>
      <c r="G127" s="328" t="s">
        <v>28</v>
      </c>
      <c r="H127" s="3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FLUCONAZOLE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2017-06-15T13:37:32Z</cp:lastPrinted>
  <dcterms:created xsi:type="dcterms:W3CDTF">2005-07-05T10:19:27Z</dcterms:created>
  <dcterms:modified xsi:type="dcterms:W3CDTF">2017-06-15T14:07:27Z</dcterms:modified>
</cp:coreProperties>
</file>